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0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กรุงไทย" sheetId="9" r:id="rId9"/>
    <sheet name="กระทบยอดเงินฝากธ ธกส" sheetId="10" r:id="rId10"/>
    <sheet name="คงเหลือแบบใหม่" sheetId="11" r:id="rId11"/>
    <sheet name="โอนลดโอนเพิ่ม" sheetId="12" r:id="rId12"/>
    <sheet name="เงินสะสม" sheetId="13" r:id="rId13"/>
    <sheet name="จ่ายจากรายรับแบบใหม่" sheetId="14" r:id="rId14"/>
    <sheet name="จ่ายจากเงินอุดหนุนระบุวัตถุฯ" sheetId="15" r:id="rId15"/>
    <sheet name="Sheet2" sheetId="16" r:id="rId16"/>
  </sheets>
  <definedNames>
    <definedName name="_xlnm.Print_Area" localSheetId="5">'งบเงินรับ-จ่าย'!$A$1:$G$186</definedName>
    <definedName name="_xlnm.Print_Area" localSheetId="0">'งบทดลอง'!$A$1:$D$80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<sst xmlns="http://schemas.openxmlformats.org/spreadsheetml/2006/main" count="1595" uniqueCount="575">
  <si>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</si>
  <si>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</si>
  <si>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</si>
  <si>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</si>
  <si>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</si>
  <si>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</si>
  <si>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</si>
  <si>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</si>
  <si>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</si>
  <si>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</si>
  <si>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</si>
  <si>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</si>
  <si>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</si>
  <si>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</si>
  <si>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</si>
  <si>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</si>
  <si>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</si>
  <si>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</si>
  <si>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</si>
  <si>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</si>
  <si>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</si>
  <si>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</si>
  <si>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</si>
  <si>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</si>
  <si>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</si>
  <si>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</si>
  <si>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</si>
  <si>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</si>
  <si>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</si>
  <si>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</si>
  <si>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</si>
  <si>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</si>
  <si>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</si>
  <si>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</si>
  <si>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</si>
  <si>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</si>
  <si>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</si>
  <si>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</si>
  <si>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</si>
  <si>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</si>
  <si>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</si>
  <si>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</si>
  <si>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</si>
  <si>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</si>
  <si>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</si>
  <si>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</si>
  <si>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</si>
  <si>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</si>
  <si>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</si>
  <si>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</si>
  <si>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</si>
  <si>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</si>
  <si>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</si>
  <si>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</si>
  <si>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</si>
  <si>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</si>
  <si>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</si>
  <si>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</si>
  <si>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</si>
  <si>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</si>
  <si>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</si>
  <si>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</si>
  <si>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</si>
  <si>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</si>
  <si>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</si>
  <si>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</si>
  <si>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</si>
  <si>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</si>
  <si>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</si>
  <si>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</si>
  <si>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</si>
  <si>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</si>
  <si>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</si>
  <si>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</si>
  <si>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</si>
  <si>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</si>
  <si>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</si>
  <si>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</si>
  <si>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</si>
  <si>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</si>
  <si>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</si>
  <si>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</si>
  <si>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</si>
  <si>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</si>
  <si>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</si>
  <si>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</si>
  <si>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</si>
  <si>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</si>
  <si>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</si>
  <si>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</si>
  <si>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</si>
  <si>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</si>
  <si>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</si>
  <si>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</si>
  <si>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</si>
  <si>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</si>
  <si>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</si>
  <si>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</si>
  <si>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</si>
  <si>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</si>
  <si>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</si>
  <si>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</si>
  <si>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</si>
  <si>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</si>
  <si>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</si>
  <si>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</si>
  <si>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</si>
  <si>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</si>
  <si>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</si>
  <si>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</si>
  <si>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</si>
  <si>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</si>
  <si>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</si>
  <si>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</si>
  <si>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</si>
  <si>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</si>
  <si>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</si>
  <si>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</si>
  <si>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</si>
  <si>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</si>
  <si>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</si>
  <si>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</si>
  <si>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</si>
  <si>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</si>
  <si>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</si>
  <si>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</si>
  <si>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</si>
  <si>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</si>
  <si>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</si>
  <si>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</si>
  <si>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</si>
  <si>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</si>
  <si>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</si>
  <si>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</si>
  <si>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</si>
  <si>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</si>
  <si>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</si>
  <si>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</si>
  <si>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</si>
  <si>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</si>
  <si>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</si>
  <si>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</si>
  <si>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</si>
  <si>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</si>
  <si>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</si>
  <si>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</si>
  <si>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</si>
  <si>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</si>
  <si>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</si>
  <si>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</si>
  <si>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</si>
  <si>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</si>
  <si>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</si>
  <si>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</si>
  <si>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</si>
  <si>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</si>
  <si>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</si>
  <si>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</si>
  <si>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</si>
  <si>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</si>
  <si>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</si>
  <si>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</si>
  <si>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</si>
  <si>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</si>
  <si>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</si>
  <si>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</si>
  <si>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</si>
  <si>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</si>
  <si>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</si>
  <si>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</si>
  <si>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</si>
  <si>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</si>
  <si>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</si>
  <si>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</si>
  <si>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</si>
  <si>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</si>
  <si>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</si>
  <si>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</si>
  <si>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</si>
  <si>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</si>
  <si>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</si>
  <si>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</si>
  <si>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</si>
  <si>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</si>
  <si>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</si>
  <si>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</si>
  <si>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</si>
  <si>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</si>
  <si>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</si>
  <si>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</si>
  <si>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</si>
  <si>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</si>
  <si>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</si>
  <si>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</si>
  <si>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</si>
  <si>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</si>
  <si>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</si>
  <si>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</si>
  <si>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</si>
  <si>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</si>
  <si>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</si>
  <si>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</si>
  <si>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</si>
  <si>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</si>
  <si>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</si>
  <si>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</si>
  <si>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</si>
  <si>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</si>
  <si>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</si>
  <si>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</si>
  <si>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</si>
  <si>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</si>
  <si>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</si>
  <si>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</si>
  <si>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</si>
  <si>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</si>
  <si>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</si>
  <si>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</si>
  <si>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</si>
  <si>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</si>
  <si>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</si>
  <si>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</si>
  <si>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</si>
  <si>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</si>
  <si>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</si>
  <si>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</si>
  <si>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</si>
  <si>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</si>
  <si>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</si>
  <si>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</si>
  <si>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</si>
  <si>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</si>
  <si>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</si>
  <si>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</si>
  <si>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</si>
  <si>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</si>
  <si>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</si>
  <si>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</si>
  <si>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</si>
  <si>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</si>
  <si>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</si>
  <si>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</si>
  <si>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</si>
  <si>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</si>
  <si>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</si>
  <si>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</si>
  <si>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</si>
  <si>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</si>
  <si>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</si>
  <si>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</si>
  <si>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</si>
  <si>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</si>
  <si>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</si>
  <si>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</si>
  <si>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</si>
  <si>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</si>
  <si>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</si>
  <si>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</si>
  <si>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</si>
  <si>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</si>
  <si>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</si>
  <si>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</si>
  <si>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</si>
  <si>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</si>
  <si>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</si>
  <si>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</si>
  <si>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</si>
  <si>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</si>
  <si>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</si>
  <si>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</si>
  <si>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</si>
  <si>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</si>
  <si>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</si>
  <si>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</si>
  <si>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</si>
  <si>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</si>
  <si>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</si>
  <si>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</si>
  <si>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</si>
  <si>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</si>
  <si>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</si>
  <si>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</si>
  <si>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</si>
  <si>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</si>
  <si>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</si>
  <si>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</si>
  <si>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</si>
  <si>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</si>
  <si>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</si>
  <si>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</si>
  <si>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</si>
  <si>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</si>
  <si>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</si>
  <si>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</si>
  <si>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</si>
  <si>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</si>
  <si>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</si>
  <si>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</si>
  <si>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</si>
  <si>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</si>
  <si>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</si>
  <si>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</si>
  <si>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</si>
  <si>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</si>
  <si>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</si>
  <si>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</si>
  <si>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</si>
  <si>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</si>
  <si>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</si>
  <si>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</si>
  <si>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</si>
  <si>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</si>
  <si>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</si>
  <si>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</si>
  <si>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</si>
  <si>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</si>
  <si>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</si>
  <si>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</si>
  <si>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</si>
  <si>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</si>
  <si>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</si>
  <si>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</si>
  <si>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</si>
  <si>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</si>
  <si>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</si>
  <si>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</si>
  <si>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</si>
  <si>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</si>
  <si>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</si>
  <si>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</si>
  <si>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</si>
  <si>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</si>
  <si>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</si>
  <si>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</si>
  <si>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</si>
  <si>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</si>
  <si>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</si>
  <si>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</si>
  <si>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</si>
  <si>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</si>
  <si>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</si>
  <si>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</si>
  <si>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</si>
  <si>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</si>
  <si>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</si>
  <si>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</si>
  <si>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</si>
  <si>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</si>
  <si>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</si>
  <si>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</si>
  <si>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</si>
  <si>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</si>
  <si>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</si>
  <si>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</si>
  <si>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</si>
  <si>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</si>
  <si>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</si>
  <si>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</si>
  <si>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</si>
  <si>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</si>
  <si>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</si>
  <si>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</si>
  <si>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</si>
  <si>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</si>
  <si>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</si>
  <si>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</si>
  <si>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</si>
  <si>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</si>
  <si>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</si>
  <si>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</si>
  <si>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</si>
  <si>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</si>
  <si>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</si>
  <si>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</si>
  <si>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</si>
  <si>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</si>
  <si>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</si>
  <si>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</si>
  <si>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</si>
  <si>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</si>
  <si>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</si>
  <si>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</si>
  <si>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</si>
  <si>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</si>
  <si>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</si>
  <si>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</si>
  <si>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</si>
  <si>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</si>
  <si>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</si>
  <si>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</si>
  <si>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</si>
  <si>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</si>
  <si>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</si>
  <si>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</si>
  <si>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</si>
  <si>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</si>
  <si>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</si>
  <si>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</si>
  <si>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</si>
  <si>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</si>
  <si>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</si>
  <si>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</si>
  <si>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</si>
  <si>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</si>
  <si>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</si>
  <si>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</si>
  <si>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</si>
  <si>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</si>
  <si>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</si>
  <si>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</si>
  <si>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</si>
  <si>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</si>
  <si>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</si>
  <si>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</si>
  <si>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</si>
  <si>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</si>
  <si>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</si>
  <si>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</si>
  <si>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</si>
  <si>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</si>
  <si>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</si>
  <si>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</si>
  <si>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</si>
  <si>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</si>
  <si>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</si>
  <si>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</si>
  <si>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</si>
  <si>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</si>
  <si>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</si>
  <si>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</si>
  <si>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</si>
  <si>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</si>
  <si>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</si>
  <si>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</si>
  <si>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</si>
  <si>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</si>
  <si>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</si>
  <si>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</si>
  <si>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</si>
  <si>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</si>
  <si>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</si>
  <si>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</si>
  <si>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</si>
  <si>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</si>
  <si>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</si>
  <si>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</si>
  <si>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</si>
  <si>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</si>
  <si>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</si>
  <si>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</si>
  <si>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</si>
  <si>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</si>
  <si>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</si>
  <si>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</si>
  <si>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</si>
  <si>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</si>
  <si>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</si>
  <si>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</si>
  <si>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</si>
  <si>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</si>
  <si>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</si>
  <si>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</si>
  <si>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</si>
  <si>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</si>
  <si>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</si>
  <si>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</si>
  <si>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</si>
  <si>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</si>
  <si>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</si>
  <si>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</si>
  <si>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</si>
  <si>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</si>
  <si>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</si>
  <si>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</si>
  <si>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</si>
  <si>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</si>
  <si>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</si>
  <si>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</si>
  <si>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</si>
  <si>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</si>
  <si>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</si>
  <si>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</si>
  <si>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</si>
  <si>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</si>
  <si>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</si>
  <si>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</si>
  <si>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</si>
  <si>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</si>
  <si>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</si>
  <si>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</si>
  <si>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</si>
  <si>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</si>
  <si>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</si>
  <si>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</si>
  <si>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</si>
  <si>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</si>
  <si>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เงินรับฝากเงินประกันซอง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</si>
  <si>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</si>
  <si>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</si>
  <si>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</si>
  <si>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</si>
  <si>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</si>
  <si>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</si>
  <si>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</si>
  <si>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</si>
  <si>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</si>
  <si>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</si>
  <si>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</si>
  <si>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</si>
  <si>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</si>
  <si>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</si>
  <si>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</si>
  <si>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</si>
  <si>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</si>
  <si>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>เงินประกันซอง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</si>
  <si>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</si>
  <si>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</si>
  <si>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</si>
  <si>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 xml:space="preserve">                 นักวิชาการเงินและบัญชี</t>
  </si>
  <si>
    <t>ค่าใช้สอย-ค่าจัดการเรียนการสอน ศพด.</t>
  </si>
  <si>
    <t>ณ วันที่  31  ธันวาคม  2558</t>
  </si>
  <si>
    <t>ณ  วันที่  31  ธันวาคม   2558</t>
  </si>
  <si>
    <t>โครงการค่าปรับสภาพแวดล้อมที่อยู่อาศัยสำหรับคนพิการ</t>
  </si>
  <si>
    <t xml:space="preserve"> 31  ธันวาคม  2558</t>
  </si>
  <si>
    <t>หมายเหตุ 2  ประกอบงบทดลอง  ณ  วันที่    31  ธันวาคม  2558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</si>
  <si>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</si>
  <si>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</si>
  <si>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</si>
  <si>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</si>
  <si>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</si>
  <si>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</si>
  <si>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</si>
  <si>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</si>
  <si>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</si>
  <si>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</si>
  <si>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16/2558</t>
  </si>
  <si>
    <t>10/2559</t>
  </si>
  <si>
    <t>กลุ่มเกษตรกรปลูกมันสำปะหลัง หมูที่ 2</t>
  </si>
  <si>
    <t>11/2559</t>
  </si>
  <si>
    <t>หมายเหตุ 1  ประกอบงบทดลอง  ณ  วันที่    31  ธันวาคม  2558</t>
  </si>
  <si>
    <t>หมายเหตุ 1  ประกอบงบทดลอง  ณ  วันที่    31  ธันวาคม 2558</t>
  </si>
  <si>
    <t>หมายเหตุ 1  ประกอบงบทดลอง  ณ  วันที่    31  ธันวาคม   2558</t>
  </si>
  <si>
    <t xml:space="preserve">ประจำเดือน ธันวาคม  2558 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</si>
  <si>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</si>
  <si>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</si>
  <si>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</si>
  <si>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</si>
  <si>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</si>
  <si>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>เงินประกันสัญญา</t>
  </si>
  <si>
    <t>วันที่  1  ธันวาคม  2558  ถึง   31  ธันวาคม  2558</t>
  </si>
  <si>
    <t xml:space="preserve">          จ่ายเงินสะสม</t>
  </si>
  <si>
    <t>ยอดเงินคงเหลือตามรายงานธนาคาร ณวันที่ 31  ธันวาคม 2558</t>
  </si>
  <si>
    <t>15 ธ.ค. 58</t>
  </si>
  <si>
    <t>13349629</t>
  </si>
  <si>
    <t>24 ธ.ค. 58</t>
  </si>
  <si>
    <t>13349641</t>
  </si>
  <si>
    <t>13349642</t>
  </si>
  <si>
    <t>13349643</t>
  </si>
  <si>
    <t>29 ธ.ค. 58</t>
  </si>
  <si>
    <t>13349644</t>
  </si>
  <si>
    <t>13349645</t>
  </si>
  <si>
    <t>13349647</t>
  </si>
  <si>
    <t>13349648</t>
  </si>
  <si>
    <t>13349649</t>
  </si>
  <si>
    <t>30 ธ.ค. 58</t>
  </si>
  <si>
    <t>13349650</t>
  </si>
  <si>
    <t>13349651</t>
  </si>
  <si>
    <t>ยอดเงินคงเหลือตามบัญชี  ณ  วันที่  31  ธันวาคม  2558</t>
  </si>
  <si>
    <t>(ลงชื่อ)...................................................วันที่ 31  ธันวาคม  2558</t>
  </si>
  <si>
    <t>(ลงชื่อ).................................วันที่  31  ธันวาคม 2558</t>
  </si>
  <si>
    <t xml:space="preserve">  ธนาคาร กรุงไทย(ออมทรัพย์)  สาขาโชคชัย</t>
  </si>
  <si>
    <t>เลขที่บัญชี 344-0-48430-0</t>
  </si>
  <si>
    <t>25 ธ.ค. 58</t>
  </si>
  <si>
    <t>10027253-8</t>
  </si>
  <si>
    <t>เดือน  ธันวาคม  2558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</si>
</sst>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left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4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3"/>
  <sheetViews>
    <sheetView view="pageBreakPreview" zoomScaleSheetLayoutView="100" workbookViewId="0" topLeftCell="A1">
      <selection activeCell="K56" sqref="K56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89" t="s">
        <v>0</v>
      </c>
      <c r="B1" s="289"/>
      <c r="C1" s="289"/>
      <c r="D1" s="289"/>
    </row>
    <row r="2" spans="1:4" ht="16.5" customHeight="1">
      <c r="A2" s="289" t="s">
        <v>1</v>
      </c>
      <c r="B2" s="289"/>
      <c r="C2" s="289"/>
      <c r="D2" s="289"/>
    </row>
    <row r="3" spans="1:4" ht="16.5" customHeight="1">
      <c r="A3" s="289" t="s">
        <v>521</v>
      </c>
      <c r="B3" s="289"/>
      <c r="C3" s="289"/>
      <c r="D3" s="289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60" t="s">
        <v>360</v>
      </c>
      <c r="B5" s="161" t="s">
        <v>437</v>
      </c>
      <c r="C5" s="46">
        <v>6496838.21</v>
      </c>
      <c r="D5" s="96"/>
    </row>
    <row r="6" spans="1:9" ht="16.5" customHeight="1">
      <c r="A6" s="160" t="s">
        <v>73</v>
      </c>
      <c r="B6" s="161" t="s">
        <v>437</v>
      </c>
      <c r="C6" s="46">
        <v>11061773.55</v>
      </c>
      <c r="D6" s="96"/>
      <c r="I6" s="160"/>
    </row>
    <row r="7" spans="1:4" ht="16.5" customHeight="1">
      <c r="A7" s="160" t="s">
        <v>74</v>
      </c>
      <c r="B7" s="161" t="s">
        <v>437</v>
      </c>
      <c r="C7" s="46">
        <v>104794.71</v>
      </c>
      <c r="D7" s="45"/>
    </row>
    <row r="8" spans="1:4" ht="16.5" customHeight="1">
      <c r="A8" s="160" t="s">
        <v>364</v>
      </c>
      <c r="B8" s="161" t="s">
        <v>437</v>
      </c>
      <c r="C8" s="46">
        <v>5146644.2</v>
      </c>
      <c r="D8" s="45"/>
    </row>
    <row r="9" spans="1:4" ht="16.5" customHeight="1">
      <c r="A9" s="160" t="s">
        <v>75</v>
      </c>
      <c r="B9" s="161" t="s">
        <v>438</v>
      </c>
      <c r="C9" s="46">
        <v>12809280.45</v>
      </c>
      <c r="D9" s="45"/>
    </row>
    <row r="10" spans="1:4" ht="16.5" customHeight="1">
      <c r="A10" s="160" t="s">
        <v>31</v>
      </c>
      <c r="B10" s="161" t="s">
        <v>439</v>
      </c>
      <c r="C10" s="46">
        <v>217890</v>
      </c>
      <c r="D10" s="45"/>
    </row>
    <row r="11" spans="1:4" ht="16.5" customHeight="1">
      <c r="A11" s="160" t="s">
        <v>468</v>
      </c>
      <c r="B11" s="161" t="s">
        <v>439</v>
      </c>
      <c r="C11" s="46">
        <v>1827600</v>
      </c>
      <c r="D11" s="45"/>
    </row>
    <row r="12" spans="1:4" ht="16.5" customHeight="1">
      <c r="A12" s="160" t="s">
        <v>469</v>
      </c>
      <c r="B12" s="161" t="s">
        <v>439</v>
      </c>
      <c r="C12" s="46">
        <v>441600</v>
      </c>
      <c r="D12" s="45"/>
    </row>
    <row r="13" spans="1:4" ht="16.5" customHeight="1">
      <c r="A13" s="160" t="s">
        <v>470</v>
      </c>
      <c r="B13" s="161" t="s">
        <v>439</v>
      </c>
      <c r="C13" s="46">
        <v>1450</v>
      </c>
      <c r="D13" s="45"/>
    </row>
    <row r="14" spans="1:10" ht="16.5" customHeight="1">
      <c r="A14" s="160" t="s">
        <v>334</v>
      </c>
      <c r="B14" s="161" t="s">
        <v>440</v>
      </c>
      <c r="C14" s="46">
        <v>707580</v>
      </c>
      <c r="D14" s="45"/>
      <c r="J14" s="155" t="s">
        <v>494</v>
      </c>
    </row>
    <row r="15" spans="1:4" ht="16.5" customHeight="1">
      <c r="A15" s="160" t="s">
        <v>335</v>
      </c>
      <c r="B15" s="161" t="s">
        <v>441</v>
      </c>
      <c r="C15" s="46">
        <v>1081100</v>
      </c>
      <c r="D15" s="45"/>
    </row>
    <row r="16" spans="1:4" ht="16.5" customHeight="1">
      <c r="A16" s="160" t="s">
        <v>471</v>
      </c>
      <c r="B16" s="161" t="s">
        <v>441</v>
      </c>
      <c r="C16" s="46">
        <v>48570</v>
      </c>
      <c r="D16" s="45"/>
    </row>
    <row r="17" spans="1:4" ht="16.5" customHeight="1">
      <c r="A17" s="160" t="s">
        <v>336</v>
      </c>
      <c r="B17" s="161" t="s">
        <v>441</v>
      </c>
      <c r="C17" s="46">
        <v>39855</v>
      </c>
      <c r="D17" s="45"/>
    </row>
    <row r="18" spans="1:4" ht="16.5" customHeight="1">
      <c r="A18" s="160" t="s">
        <v>337</v>
      </c>
      <c r="B18" s="161" t="s">
        <v>441</v>
      </c>
      <c r="C18" s="46">
        <v>353010</v>
      </c>
      <c r="D18" s="45"/>
    </row>
    <row r="19" spans="1:4" ht="16.5" customHeight="1">
      <c r="A19" s="160" t="s">
        <v>472</v>
      </c>
      <c r="B19" s="161" t="s">
        <v>441</v>
      </c>
      <c r="C19" s="46">
        <v>29000</v>
      </c>
      <c r="D19" s="45"/>
    </row>
    <row r="20" spans="1:4" ht="16.5" customHeight="1">
      <c r="A20" s="160" t="s">
        <v>6</v>
      </c>
      <c r="B20" s="161" t="s">
        <v>442</v>
      </c>
      <c r="C20" s="46">
        <v>93191</v>
      </c>
      <c r="D20" s="45"/>
    </row>
    <row r="21" spans="1:4" ht="16.5" customHeight="1">
      <c r="A21" s="160" t="s">
        <v>7</v>
      </c>
      <c r="B21" s="161" t="s">
        <v>362</v>
      </c>
      <c r="C21" s="46">
        <v>354156.74</v>
      </c>
      <c r="D21" s="45"/>
    </row>
    <row r="22" spans="1:4" ht="16.5" customHeight="1">
      <c r="A22" s="160" t="s">
        <v>8</v>
      </c>
      <c r="B22" s="161" t="s">
        <v>443</v>
      </c>
      <c r="C22" s="46">
        <v>157231.62</v>
      </c>
      <c r="D22" s="45"/>
    </row>
    <row r="23" spans="1:4" ht="16.5" customHeight="1">
      <c r="A23" s="160" t="s">
        <v>9</v>
      </c>
      <c r="B23" s="161" t="s">
        <v>444</v>
      </c>
      <c r="C23" s="46">
        <v>79310.33</v>
      </c>
      <c r="D23" s="45"/>
    </row>
    <row r="24" spans="1:4" ht="16.5" customHeight="1">
      <c r="A24" s="160" t="s">
        <v>54</v>
      </c>
      <c r="B24" s="161" t="s">
        <v>445</v>
      </c>
      <c r="C24" s="46">
        <v>53287.27</v>
      </c>
      <c r="D24" s="45"/>
    </row>
    <row r="25" spans="1:4" ht="16.5" customHeight="1">
      <c r="A25" s="160" t="s">
        <v>32</v>
      </c>
      <c r="B25" s="161" t="s">
        <v>446</v>
      </c>
      <c r="C25" s="46">
        <v>384580</v>
      </c>
      <c r="D25" s="45"/>
    </row>
    <row r="26" spans="1:4" ht="16.5" customHeight="1">
      <c r="A26" s="159" t="s">
        <v>417</v>
      </c>
      <c r="B26" s="161" t="s">
        <v>447</v>
      </c>
      <c r="C26" s="46">
        <v>7800</v>
      </c>
      <c r="D26" s="45"/>
    </row>
    <row r="27" spans="1:4" ht="16.5" customHeight="1">
      <c r="A27" s="160" t="s">
        <v>338</v>
      </c>
      <c r="B27" s="161" t="s">
        <v>448</v>
      </c>
      <c r="C27" s="46">
        <v>3551.99</v>
      </c>
      <c r="D27" s="45"/>
    </row>
    <row r="28" spans="1:4" ht="16.5" customHeight="1">
      <c r="A28" s="159" t="s">
        <v>436</v>
      </c>
      <c r="B28" s="161" t="s">
        <v>449</v>
      </c>
      <c r="C28" s="46">
        <v>1031560</v>
      </c>
      <c r="D28" s="45"/>
    </row>
    <row r="29" spans="1:4" ht="16.5" customHeight="1">
      <c r="A29" s="159" t="s">
        <v>11</v>
      </c>
      <c r="B29" s="161" t="s">
        <v>361</v>
      </c>
      <c r="C29" s="46"/>
      <c r="D29" s="45">
        <f>5091270.11+1242343.67</f>
        <v>6333613.78</v>
      </c>
    </row>
    <row r="30" spans="1:4" ht="16.5" customHeight="1">
      <c r="A30" s="160" t="s">
        <v>457</v>
      </c>
      <c r="B30" s="161" t="s">
        <v>454</v>
      </c>
      <c r="C30" s="46"/>
      <c r="D30" s="97">
        <v>632382</v>
      </c>
    </row>
    <row r="31" spans="1:4" ht="16.5" customHeight="1">
      <c r="A31" s="160" t="s">
        <v>339</v>
      </c>
      <c r="B31" s="161" t="s">
        <v>453</v>
      </c>
      <c r="C31" s="46"/>
      <c r="D31" s="95">
        <v>1719061.94</v>
      </c>
    </row>
    <row r="32" spans="1:8" ht="16.5" customHeight="1">
      <c r="A32" s="160" t="s">
        <v>10</v>
      </c>
      <c r="B32" s="161" t="s">
        <v>442</v>
      </c>
      <c r="C32" s="46"/>
      <c r="D32" s="45">
        <v>15497154.56</v>
      </c>
      <c r="H32" s="155" t="s">
        <v>257</v>
      </c>
    </row>
    <row r="33" spans="1:4" ht="16.5" customHeight="1">
      <c r="A33" s="160" t="s">
        <v>128</v>
      </c>
      <c r="B33" s="161" t="s">
        <v>362</v>
      </c>
      <c r="C33" s="46"/>
      <c r="D33" s="45">
        <v>14155672.79</v>
      </c>
    </row>
    <row r="34" spans="1:4" ht="16.5" customHeight="1">
      <c r="A34" s="160" t="s">
        <v>497</v>
      </c>
      <c r="B34" s="161" t="s">
        <v>445</v>
      </c>
      <c r="C34" s="46"/>
      <c r="D34" s="45">
        <v>48570</v>
      </c>
    </row>
    <row r="35" spans="1:4" ht="16.5" customHeight="1">
      <c r="A35" s="160" t="s">
        <v>498</v>
      </c>
      <c r="B35" s="161" t="s">
        <v>445</v>
      </c>
      <c r="C35" s="46"/>
      <c r="D35" s="45">
        <v>27000</v>
      </c>
    </row>
    <row r="36" spans="1:4" ht="16.5" customHeight="1">
      <c r="A36" s="160" t="s">
        <v>499</v>
      </c>
      <c r="B36" s="161" t="s">
        <v>445</v>
      </c>
      <c r="C36" s="46"/>
      <c r="D36" s="45">
        <v>3000</v>
      </c>
    </row>
    <row r="37" spans="1:4" ht="16.5" customHeight="1">
      <c r="A37" s="160" t="s">
        <v>500</v>
      </c>
      <c r="B37" s="161" t="s">
        <v>445</v>
      </c>
      <c r="C37" s="46"/>
      <c r="D37" s="45">
        <v>1500</v>
      </c>
    </row>
    <row r="38" spans="1:4" ht="16.5" customHeight="1">
      <c r="A38" s="160" t="s">
        <v>501</v>
      </c>
      <c r="B38" s="161" t="s">
        <v>445</v>
      </c>
      <c r="C38" s="46"/>
      <c r="D38" s="45">
        <v>63700</v>
      </c>
    </row>
    <row r="39" spans="1:4" ht="16.5" customHeight="1">
      <c r="A39" s="160" t="s">
        <v>502</v>
      </c>
      <c r="B39" s="161" t="s">
        <v>445</v>
      </c>
      <c r="C39" s="46"/>
      <c r="D39" s="45">
        <v>3114000</v>
      </c>
    </row>
    <row r="40" spans="1:4" ht="16.5" customHeight="1">
      <c r="A40" s="160" t="s">
        <v>503</v>
      </c>
      <c r="B40" s="161" t="s">
        <v>445</v>
      </c>
      <c r="C40" s="46"/>
      <c r="D40" s="45">
        <v>936000</v>
      </c>
    </row>
    <row r="41" spans="1:4" ht="16.5" customHeight="1">
      <c r="A41" s="160"/>
      <c r="B41" s="161"/>
      <c r="C41" s="46"/>
      <c r="D41" s="45"/>
    </row>
    <row r="42" spans="2:5" ht="16.5" customHeight="1">
      <c r="B42" s="162"/>
      <c r="C42" s="6">
        <f>SUM(C5:C41)</f>
        <v>42531655.07000001</v>
      </c>
      <c r="D42" s="7">
        <f>SUM(D29:D41)</f>
        <v>42531655.07</v>
      </c>
      <c r="E42" s="163"/>
    </row>
    <row r="43" spans="2:5" ht="16.5" customHeight="1">
      <c r="B43" s="162"/>
      <c r="C43" s="283"/>
      <c r="E43" s="160"/>
    </row>
    <row r="44" spans="1:4" ht="16.5" customHeight="1">
      <c r="A44" s="291" t="s">
        <v>121</v>
      </c>
      <c r="B44" s="291"/>
      <c r="C44" s="291"/>
      <c r="D44" s="291"/>
    </row>
    <row r="45" spans="1:4" ht="16.5" customHeight="1">
      <c r="A45" s="291" t="s">
        <v>122</v>
      </c>
      <c r="B45" s="291"/>
      <c r="C45" s="291"/>
      <c r="D45" s="291"/>
    </row>
    <row r="46" spans="1:4" ht="16.5" customHeight="1">
      <c r="A46" s="165" t="s">
        <v>120</v>
      </c>
      <c r="B46" s="164"/>
      <c r="C46" s="10"/>
      <c r="D46" s="10"/>
    </row>
    <row r="47" spans="1:4" ht="16.5" customHeight="1">
      <c r="A47" s="165"/>
      <c r="B47" s="164"/>
      <c r="C47" s="10"/>
      <c r="D47" s="10"/>
    </row>
    <row r="48" spans="1:4" ht="16.5" customHeight="1">
      <c r="A48" s="158" t="s">
        <v>119</v>
      </c>
      <c r="B48" s="158"/>
      <c r="C48" s="4"/>
      <c r="D48" s="4"/>
    </row>
    <row r="49" spans="1:4" ht="16.5" customHeight="1">
      <c r="A49" s="158" t="s">
        <v>15</v>
      </c>
      <c r="B49" s="158"/>
      <c r="C49" s="4"/>
      <c r="D49" s="4"/>
    </row>
    <row r="50" spans="1:4" ht="16.5" customHeight="1">
      <c r="A50" s="154" t="s">
        <v>523</v>
      </c>
      <c r="B50" s="154"/>
      <c r="C50" s="85"/>
      <c r="D50" s="85"/>
    </row>
    <row r="51" spans="1:4" ht="16.5" customHeight="1">
      <c r="A51" s="154"/>
      <c r="B51" s="154"/>
      <c r="C51" s="85"/>
      <c r="D51" s="85"/>
    </row>
    <row r="52" spans="1:4" ht="16.5" customHeight="1">
      <c r="A52" s="154"/>
      <c r="B52" s="154"/>
      <c r="C52" s="85"/>
      <c r="D52" s="85"/>
    </row>
    <row r="53" spans="1:4" ht="16.5" customHeight="1">
      <c r="A53" s="154"/>
      <c r="B53" s="154"/>
      <c r="C53" s="85"/>
      <c r="D53" s="85"/>
    </row>
    <row r="54" spans="1:4" ht="16.5" customHeight="1">
      <c r="A54" s="154"/>
      <c r="B54" s="154"/>
      <c r="C54" s="85"/>
      <c r="D54" s="85"/>
    </row>
    <row r="55" spans="1:4" ht="16.5" customHeight="1">
      <c r="A55" s="289" t="s">
        <v>57</v>
      </c>
      <c r="B55" s="289"/>
      <c r="C55" s="289"/>
      <c r="D55" s="289"/>
    </row>
    <row r="56" spans="1:4" ht="16.5" customHeight="1">
      <c r="A56" s="290" t="s">
        <v>419</v>
      </c>
      <c r="B56" s="290"/>
      <c r="C56" s="290"/>
      <c r="D56" s="290"/>
    </row>
    <row r="57" spans="1:4" ht="16.5" customHeight="1">
      <c r="A57" s="290" t="s">
        <v>520</v>
      </c>
      <c r="B57" s="290"/>
      <c r="C57" s="290"/>
      <c r="D57" s="290"/>
    </row>
    <row r="58" spans="1:13" ht="16.5" customHeight="1">
      <c r="A58" s="158"/>
      <c r="B58" s="158"/>
      <c r="C58" s="158"/>
      <c r="D58" s="158"/>
      <c r="K58" s="160"/>
      <c r="L58" s="160"/>
      <c r="M58" s="160"/>
    </row>
    <row r="59" spans="1:13" ht="16.5" customHeight="1">
      <c r="A59" s="165" t="s">
        <v>420</v>
      </c>
      <c r="B59" s="158"/>
      <c r="C59" s="158"/>
      <c r="D59" s="158"/>
      <c r="K59" s="160"/>
      <c r="L59" s="160"/>
      <c r="M59" s="160"/>
    </row>
    <row r="60" spans="1:4" ht="16.5" customHeight="1">
      <c r="A60" s="165"/>
      <c r="B60" s="158"/>
      <c r="C60" s="158"/>
      <c r="D60" s="158" t="s">
        <v>70</v>
      </c>
    </row>
    <row r="61" spans="1:4" ht="16.5" customHeight="1">
      <c r="A61" s="165" t="s">
        <v>17</v>
      </c>
      <c r="B61" s="158"/>
      <c r="C61" s="4"/>
      <c r="D61" s="48">
        <v>541094</v>
      </c>
    </row>
    <row r="62" spans="1:4" ht="16.5" customHeight="1">
      <c r="A62" s="165" t="s">
        <v>496</v>
      </c>
      <c r="B62" s="158"/>
      <c r="C62" s="4"/>
      <c r="D62" s="48">
        <v>0</v>
      </c>
    </row>
    <row r="63" spans="1:4" ht="16.5" customHeight="1">
      <c r="A63" s="165" t="s">
        <v>365</v>
      </c>
      <c r="B63" s="158"/>
      <c r="C63" s="4"/>
      <c r="D63" s="48">
        <v>13307.75</v>
      </c>
    </row>
    <row r="64" spans="1:4" ht="16.5" customHeight="1">
      <c r="A64" s="155" t="s">
        <v>18</v>
      </c>
      <c r="D64" s="8">
        <v>8055.48</v>
      </c>
    </row>
    <row r="65" spans="1:4" ht="16.5" customHeight="1">
      <c r="A65" s="165" t="s">
        <v>76</v>
      </c>
      <c r="D65" s="8">
        <v>1136354.71</v>
      </c>
    </row>
    <row r="66" spans="1:4" ht="16.5" customHeight="1">
      <c r="A66" s="160" t="s">
        <v>403</v>
      </c>
      <c r="D66" s="8">
        <v>250</v>
      </c>
    </row>
    <row r="67" spans="1:4" ht="16.5" customHeight="1">
      <c r="A67" s="160" t="s">
        <v>522</v>
      </c>
      <c r="D67" s="8">
        <v>20000</v>
      </c>
    </row>
    <row r="68" spans="1:4" ht="16.5" customHeight="1">
      <c r="A68" s="160"/>
      <c r="D68" s="284"/>
    </row>
    <row r="69" spans="1:4" ht="16.5" customHeight="1" thickBot="1">
      <c r="A69" s="160"/>
      <c r="C69" s="12" t="s">
        <v>19</v>
      </c>
      <c r="D69" s="285">
        <f>SUM(D61:D68)</f>
        <v>1719061.94</v>
      </c>
    </row>
    <row r="70" ht="16.5" customHeight="1" thickTop="1">
      <c r="A70" s="160"/>
    </row>
    <row r="71" ht="16.5" customHeight="1">
      <c r="A71" s="160"/>
    </row>
    <row r="72" spans="1:7" ht="16.5" customHeight="1">
      <c r="A72" s="160"/>
      <c r="G72" s="160"/>
    </row>
    <row r="73" spans="4:7" ht="16.5" customHeight="1">
      <c r="D73" s="13"/>
      <c r="G73" s="279"/>
    </row>
    <row r="74" ht="16.5" customHeight="1">
      <c r="D74" s="13"/>
    </row>
    <row r="75" ht="16.5" customHeight="1">
      <c r="D75" s="13"/>
    </row>
    <row r="76" spans="1:4" ht="16.5" customHeight="1">
      <c r="A76" s="168"/>
      <c r="D76" s="13"/>
    </row>
    <row r="77" spans="1:4" ht="16.5" customHeight="1">
      <c r="A77" s="168"/>
      <c r="D77" s="13"/>
    </row>
    <row r="78" spans="1:4" ht="16.5" customHeight="1">
      <c r="A78" s="168"/>
      <c r="D78" s="13"/>
    </row>
    <row r="79" spans="1:4" ht="16.5" customHeight="1">
      <c r="A79" s="168"/>
      <c r="D79" s="13"/>
    </row>
    <row r="80" spans="1:4" ht="16.5" customHeight="1">
      <c r="A80" s="158"/>
      <c r="D80" s="13"/>
    </row>
    <row r="81" spans="2:4" ht="16.5" customHeight="1">
      <c r="B81" s="155"/>
      <c r="C81" s="2"/>
      <c r="D81" s="2"/>
    </row>
    <row r="82" spans="2:4" ht="16.5" customHeight="1">
      <c r="B82" s="155"/>
      <c r="C82" s="2"/>
      <c r="D82" s="2"/>
    </row>
    <row r="83" spans="2:4" ht="16.5" customHeight="1">
      <c r="B83" s="155"/>
      <c r="C83" s="2"/>
      <c r="D83" s="2"/>
    </row>
    <row r="84" spans="2:4" ht="16.5" customHeight="1">
      <c r="B84" s="155"/>
      <c r="C84" s="2"/>
      <c r="D84" s="2"/>
    </row>
    <row r="85" spans="2:4" ht="16.5" customHeight="1">
      <c r="B85" s="155"/>
      <c r="C85" s="2"/>
      <c r="D85" s="2"/>
    </row>
    <row r="86" spans="2:4" ht="16.5" customHeight="1">
      <c r="B86" s="155"/>
      <c r="C86" s="2"/>
      <c r="D86" s="2"/>
    </row>
    <row r="87" spans="2:4" ht="16.5" customHeight="1">
      <c r="B87" s="155"/>
      <c r="C87" s="2"/>
      <c r="D87" s="2"/>
    </row>
    <row r="88" spans="2:4" ht="16.5" customHeight="1">
      <c r="B88" s="155"/>
      <c r="C88" s="2"/>
      <c r="D88" s="2"/>
    </row>
    <row r="89" spans="2:4" ht="16.5" customHeight="1">
      <c r="B89" s="155"/>
      <c r="C89" s="2"/>
      <c r="D89" s="2"/>
    </row>
    <row r="90" spans="2:4" ht="16.5" customHeight="1">
      <c r="B90" s="155"/>
      <c r="C90" s="2"/>
      <c r="D90" s="2"/>
    </row>
    <row r="91" spans="2:4" ht="16.5" customHeight="1">
      <c r="B91" s="155"/>
      <c r="C91" s="2"/>
      <c r="D91" s="2"/>
    </row>
    <row r="92" spans="2:4" ht="16.5" customHeight="1">
      <c r="B92" s="155"/>
      <c r="C92" s="2"/>
      <c r="D92" s="2"/>
    </row>
    <row r="93" spans="2:4" ht="16.5" customHeight="1">
      <c r="B93" s="155"/>
      <c r="C93" s="2"/>
      <c r="D93" s="2"/>
    </row>
    <row r="94" spans="2:4" ht="16.5" customHeight="1">
      <c r="B94" s="155"/>
      <c r="C94" s="2"/>
      <c r="D94" s="2"/>
    </row>
    <row r="95" spans="2:4" ht="16.5" customHeight="1">
      <c r="B95" s="155"/>
      <c r="C95" s="2"/>
      <c r="D95" s="2"/>
    </row>
    <row r="96" spans="2:4" ht="16.5" customHeight="1">
      <c r="B96" s="155"/>
      <c r="C96" s="2"/>
      <c r="D96" s="2"/>
    </row>
    <row r="97" spans="2:4" ht="16.5" customHeight="1">
      <c r="B97" s="155"/>
      <c r="C97" s="2"/>
      <c r="D97" s="2"/>
    </row>
    <row r="98" spans="2:4" ht="16.5" customHeight="1">
      <c r="B98" s="155"/>
      <c r="C98" s="2"/>
      <c r="D98" s="2"/>
    </row>
    <row r="99" spans="2:4" ht="16.5" customHeight="1">
      <c r="B99" s="155"/>
      <c r="C99" s="2"/>
      <c r="D99" s="2"/>
    </row>
    <row r="100" spans="2:4" ht="16.5" customHeight="1">
      <c r="B100" s="155"/>
      <c r="C100" s="2"/>
      <c r="D100" s="2"/>
    </row>
    <row r="101" spans="2:4" ht="16.5" customHeight="1">
      <c r="B101" s="155"/>
      <c r="C101" s="2"/>
      <c r="D101" s="2"/>
    </row>
    <row r="102" spans="2:4" ht="16.5" customHeight="1">
      <c r="B102" s="155"/>
      <c r="C102" s="2"/>
      <c r="D102" s="2"/>
    </row>
    <row r="103" spans="2:4" ht="16.5" customHeight="1">
      <c r="B103" s="155"/>
      <c r="C103" s="2"/>
      <c r="D103" s="2"/>
    </row>
    <row r="104" spans="2:4" ht="16.5" customHeight="1">
      <c r="B104" s="155"/>
      <c r="C104" s="2"/>
      <c r="D104" s="2"/>
    </row>
    <row r="105" spans="2:4" ht="16.5" customHeight="1">
      <c r="B105" s="155"/>
      <c r="C105" s="2"/>
      <c r="D105" s="2"/>
    </row>
    <row r="106" spans="2:4" ht="16.5" customHeight="1">
      <c r="B106" s="155"/>
      <c r="C106" s="2"/>
      <c r="D106" s="2"/>
    </row>
    <row r="107" spans="2:4" ht="16.5" customHeight="1">
      <c r="B107" s="155"/>
      <c r="C107" s="2"/>
      <c r="D107" s="2"/>
    </row>
    <row r="108" spans="2:4" ht="16.5" customHeight="1">
      <c r="B108" s="155"/>
      <c r="C108" s="2"/>
      <c r="D108" s="2"/>
    </row>
    <row r="109" spans="2:4" ht="16.5" customHeight="1">
      <c r="B109" s="155"/>
      <c r="C109" s="2"/>
      <c r="D109" s="2"/>
    </row>
    <row r="110" spans="2:4" ht="16.5" customHeight="1">
      <c r="B110" s="155"/>
      <c r="C110" s="2"/>
      <c r="D110" s="2"/>
    </row>
    <row r="111" spans="2:4" ht="16.5" customHeight="1">
      <c r="B111" s="155"/>
      <c r="C111" s="2"/>
      <c r="D111" s="2"/>
    </row>
    <row r="112" spans="2:4" ht="16.5" customHeight="1">
      <c r="B112" s="155"/>
      <c r="C112" s="2"/>
      <c r="D112" s="2"/>
    </row>
    <row r="113" spans="2:4" ht="16.5" customHeight="1">
      <c r="B113" s="155"/>
      <c r="C113" s="2"/>
      <c r="D113" s="2"/>
    </row>
    <row r="114" spans="2:4" ht="16.5" customHeight="1">
      <c r="B114" s="155"/>
      <c r="C114" s="2"/>
      <c r="D114" s="2"/>
    </row>
    <row r="115" spans="2:4" ht="16.5" customHeight="1">
      <c r="B115" s="155"/>
      <c r="C115" s="2"/>
      <c r="D115" s="2"/>
    </row>
    <row r="116" spans="2:4" ht="16.5" customHeight="1">
      <c r="B116" s="155"/>
      <c r="C116" s="2"/>
      <c r="D116" s="2"/>
    </row>
    <row r="117" spans="2:4" ht="16.5" customHeight="1">
      <c r="B117" s="155"/>
      <c r="C117" s="2"/>
      <c r="D117" s="2"/>
    </row>
    <row r="118" spans="2:4" ht="16.5" customHeight="1">
      <c r="B118" s="155"/>
      <c r="C118" s="2"/>
      <c r="D118" s="2"/>
    </row>
    <row r="119" spans="2:4" ht="16.5" customHeight="1">
      <c r="B119" s="155"/>
      <c r="C119" s="2"/>
      <c r="D119" s="2"/>
    </row>
    <row r="120" spans="2:4" ht="16.5" customHeight="1">
      <c r="B120" s="155"/>
      <c r="C120" s="2"/>
      <c r="D120" s="2"/>
    </row>
    <row r="121" spans="2:4" ht="16.5" customHeight="1">
      <c r="B121" s="155"/>
      <c r="C121" s="2"/>
      <c r="D121" s="2"/>
    </row>
    <row r="122" spans="2:4" ht="16.5" customHeight="1">
      <c r="B122" s="155"/>
      <c r="C122" s="2"/>
      <c r="D122" s="2"/>
    </row>
    <row r="123" spans="2:4" ht="16.5" customHeight="1">
      <c r="B123" s="155"/>
      <c r="C123" s="2"/>
      <c r="D123" s="2"/>
    </row>
    <row r="124" spans="2:4" ht="16.5" customHeight="1">
      <c r="B124" s="155"/>
      <c r="C124" s="2"/>
      <c r="D124" s="2"/>
    </row>
    <row r="125" spans="2:4" ht="16.5" customHeight="1">
      <c r="B125" s="155"/>
      <c r="C125" s="2"/>
      <c r="D125" s="2"/>
    </row>
    <row r="126" spans="2:4" ht="16.5" customHeight="1">
      <c r="B126" s="155"/>
      <c r="C126" s="2"/>
      <c r="D126" s="2"/>
    </row>
    <row r="127" spans="2:4" ht="16.5" customHeight="1">
      <c r="B127" s="155"/>
      <c r="C127" s="2"/>
      <c r="D127" s="2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2"/>
      <c r="D516" s="2"/>
    </row>
    <row r="517" spans="2:4" ht="16.5" customHeight="1">
      <c r="B517" s="155"/>
      <c r="C517" s="2"/>
      <c r="D517" s="2"/>
    </row>
    <row r="518" spans="2:4" ht="16.5" customHeight="1">
      <c r="B518" s="155"/>
      <c r="C518" s="11"/>
      <c r="D518" s="2"/>
    </row>
    <row r="519" spans="2:4" ht="16.5" customHeight="1">
      <c r="B519" s="155"/>
      <c r="C519" s="11"/>
      <c r="D519" s="2"/>
    </row>
    <row r="520" spans="2:4" ht="16.5" customHeight="1">
      <c r="B520" s="155"/>
      <c r="C520" s="11"/>
      <c r="D520" s="2"/>
    </row>
    <row r="521" spans="2:4" ht="16.5" customHeight="1">
      <c r="B521" s="155"/>
      <c r="C521" s="11"/>
      <c r="D521" s="2"/>
    </row>
    <row r="522" spans="2:4" ht="16.5" customHeight="1">
      <c r="B522" s="155"/>
      <c r="C522" s="11"/>
      <c r="D522" s="2"/>
    </row>
    <row r="523" spans="2:4" ht="16.5" customHeight="1">
      <c r="B523" s="155"/>
      <c r="C523" s="11"/>
      <c r="D523" s="2"/>
    </row>
    <row r="524" spans="2:4" ht="16.5" customHeight="1">
      <c r="B524" s="155"/>
      <c r="C524" s="11"/>
      <c r="D524" s="2"/>
    </row>
    <row r="525" spans="2:4" ht="16.5" customHeight="1">
      <c r="B525" s="155"/>
      <c r="C525" s="11"/>
      <c r="D525" s="2"/>
    </row>
    <row r="526" spans="2:4" ht="16.5" customHeight="1">
      <c r="B526" s="155"/>
      <c r="C526" s="11"/>
      <c r="D526" s="2"/>
    </row>
    <row r="527" spans="2:4" ht="16.5" customHeight="1">
      <c r="B527" s="155"/>
      <c r="C527" s="11"/>
      <c r="D527" s="2"/>
    </row>
    <row r="528" spans="2:4" ht="16.5" customHeight="1">
      <c r="B528" s="155"/>
      <c r="C528" s="11"/>
      <c r="D528" s="2"/>
    </row>
    <row r="529" spans="2:4" ht="16.5" customHeight="1">
      <c r="B529" s="155"/>
      <c r="C529" s="11"/>
      <c r="D529" s="2"/>
    </row>
    <row r="530" spans="2:4" ht="16.5" customHeight="1">
      <c r="B530" s="155"/>
      <c r="C530" s="11"/>
      <c r="D530" s="2"/>
    </row>
    <row r="531" spans="2:4" ht="16.5" customHeight="1">
      <c r="B531" s="155"/>
      <c r="C531" s="11"/>
      <c r="D531" s="2"/>
    </row>
    <row r="532" spans="2:4" ht="16.5" customHeight="1">
      <c r="B532" s="155"/>
      <c r="C532" s="11"/>
      <c r="D532" s="2"/>
    </row>
    <row r="533" spans="2:4" ht="16.5" customHeight="1">
      <c r="B533" s="155"/>
      <c r="C533" s="11"/>
      <c r="D533" s="2"/>
    </row>
    <row r="534" spans="2:4" ht="16.5" customHeight="1">
      <c r="B534" s="155"/>
      <c r="C534" s="11"/>
      <c r="D534" s="2"/>
    </row>
    <row r="535" spans="2:4" ht="16.5" customHeight="1">
      <c r="B535" s="155"/>
      <c r="C535" s="11"/>
      <c r="D535" s="2"/>
    </row>
    <row r="536" spans="2:4" ht="16.5" customHeight="1">
      <c r="B536" s="155"/>
      <c r="C536" s="11"/>
      <c r="D536" s="2"/>
    </row>
    <row r="537" spans="2:4" ht="16.5" customHeight="1">
      <c r="B537" s="155"/>
      <c r="C537" s="11"/>
      <c r="D537" s="2"/>
    </row>
    <row r="538" spans="2:4" ht="16.5" customHeight="1">
      <c r="B538" s="155"/>
      <c r="C538" s="11"/>
      <c r="D538" s="2"/>
    </row>
    <row r="539" spans="2:4" ht="16.5" customHeight="1">
      <c r="B539" s="155"/>
      <c r="C539" s="11"/>
      <c r="D539" s="2"/>
    </row>
    <row r="540" spans="2:4" ht="16.5" customHeight="1">
      <c r="B540" s="155"/>
      <c r="C540" s="11"/>
      <c r="D540" s="2"/>
    </row>
    <row r="541" spans="2:4" ht="16.5" customHeight="1">
      <c r="B541" s="155"/>
      <c r="C541" s="11"/>
      <c r="D541" s="2"/>
    </row>
    <row r="542" spans="2:4" ht="16.5" customHeight="1">
      <c r="B542" s="155"/>
      <c r="C542" s="11"/>
      <c r="D542" s="2"/>
    </row>
    <row r="543" spans="2:4" ht="16.5" customHeight="1">
      <c r="B543" s="155"/>
      <c r="C543" s="11"/>
      <c r="D543" s="2"/>
    </row>
    <row r="544" spans="2:4" ht="16.5" customHeight="1">
      <c r="B544" s="155"/>
      <c r="C544" s="11"/>
      <c r="D544" s="2"/>
    </row>
    <row r="545" spans="2:4" ht="16.5" customHeight="1">
      <c r="B545" s="155"/>
      <c r="C545" s="11"/>
      <c r="D545" s="2"/>
    </row>
    <row r="546" spans="2:4" ht="16.5" customHeight="1">
      <c r="B546" s="155"/>
      <c r="C546" s="11"/>
      <c r="D546" s="2"/>
    </row>
    <row r="547" spans="2:4" ht="16.5" customHeight="1">
      <c r="B547" s="155"/>
      <c r="C547" s="11"/>
      <c r="D547" s="2"/>
    </row>
    <row r="548" spans="2:4" ht="16.5" customHeight="1">
      <c r="B548" s="155"/>
      <c r="C548" s="11"/>
      <c r="D548" s="2"/>
    </row>
    <row r="549" spans="2:4" ht="16.5" customHeight="1">
      <c r="B549" s="155"/>
      <c r="C549" s="11"/>
      <c r="D549" s="2"/>
    </row>
    <row r="550" spans="2:4" ht="16.5" customHeight="1">
      <c r="B550" s="155"/>
      <c r="C550" s="11"/>
      <c r="D550" s="2"/>
    </row>
    <row r="551" spans="2:4" ht="16.5" customHeight="1">
      <c r="B551" s="155"/>
      <c r="C551" s="11"/>
      <c r="D551" s="2"/>
    </row>
    <row r="552" spans="2:4" ht="16.5" customHeight="1">
      <c r="B552" s="155"/>
      <c r="C552" s="11"/>
      <c r="D552" s="2"/>
    </row>
    <row r="553" spans="2:4" ht="16.5" customHeight="1">
      <c r="B553" s="155"/>
      <c r="C553" s="11"/>
      <c r="D553" s="2"/>
    </row>
    <row r="554" spans="2:4" ht="16.5" customHeight="1">
      <c r="B554" s="155"/>
      <c r="C554" s="11"/>
      <c r="D554" s="2"/>
    </row>
    <row r="555" spans="2:4" ht="16.5" customHeight="1">
      <c r="B555" s="155"/>
      <c r="C555" s="11"/>
      <c r="D555" s="2"/>
    </row>
    <row r="556" spans="2:4" ht="16.5" customHeight="1">
      <c r="B556" s="155"/>
      <c r="C556" s="11"/>
      <c r="D556" s="2"/>
    </row>
    <row r="557" spans="2:4" ht="16.5" customHeight="1">
      <c r="B557" s="155"/>
      <c r="C557" s="11"/>
      <c r="D557" s="2"/>
    </row>
    <row r="558" spans="2:4" ht="16.5" customHeight="1">
      <c r="B558" s="155"/>
      <c r="C558" s="11"/>
      <c r="D558" s="2"/>
    </row>
    <row r="559" spans="2:4" ht="16.5" customHeight="1">
      <c r="B559" s="155"/>
      <c r="C559" s="11"/>
      <c r="D559" s="2"/>
    </row>
    <row r="560" spans="2:4" ht="16.5" customHeight="1">
      <c r="B560" s="155"/>
      <c r="C560" s="11"/>
      <c r="D560" s="2"/>
    </row>
    <row r="561" spans="2:4" ht="16.5" customHeight="1">
      <c r="B561" s="155"/>
      <c r="C561" s="11"/>
      <c r="D561" s="2"/>
    </row>
    <row r="562" spans="2:4" ht="16.5" customHeight="1">
      <c r="B562" s="155"/>
      <c r="C562" s="11"/>
      <c r="D562" s="2"/>
    </row>
    <row r="563" spans="2:4" ht="16.5" customHeight="1">
      <c r="B563" s="155"/>
      <c r="C563" s="11"/>
      <c r="D563" s="2"/>
    </row>
    <row r="564" spans="2:4" ht="16.5" customHeight="1">
      <c r="B564" s="155"/>
      <c r="C564" s="11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2:4" ht="16.5" customHeight="1">
      <c r="B610" s="155"/>
      <c r="C610" s="11"/>
      <c r="D610" s="2"/>
    </row>
    <row r="611" spans="2:4" ht="16.5" customHeight="1">
      <c r="B611" s="155"/>
      <c r="C611" s="11"/>
      <c r="D611" s="2"/>
    </row>
    <row r="612" spans="1:4" ht="16.5" customHeight="1">
      <c r="A612" s="160"/>
      <c r="B612" s="160"/>
      <c r="C612" s="11"/>
      <c r="D612" s="2"/>
    </row>
    <row r="613" spans="1:4" ht="16.5" customHeight="1">
      <c r="A613" s="160"/>
      <c r="B613" s="160"/>
      <c r="C613" s="11"/>
      <c r="D613" s="2"/>
    </row>
    <row r="614" spans="1:4" ht="16.5" customHeight="1">
      <c r="A614" s="160"/>
      <c r="B614" s="160"/>
      <c r="C614" s="11"/>
      <c r="D614" s="2"/>
    </row>
    <row r="615" spans="1:4" ht="16.5" customHeight="1">
      <c r="A615" s="160"/>
      <c r="B615" s="160"/>
      <c r="C615" s="11"/>
      <c r="D615" s="2"/>
    </row>
    <row r="616" spans="1:4" ht="16.5" customHeight="1">
      <c r="A616" s="167"/>
      <c r="B616" s="167"/>
      <c r="C616" s="11"/>
      <c r="D616" s="2"/>
    </row>
    <row r="617" spans="1:4" ht="16.5" customHeight="1">
      <c r="A617" s="167"/>
      <c r="B617" s="167"/>
      <c r="C617" s="11"/>
      <c r="D617" s="2"/>
    </row>
    <row r="618" spans="1:4" ht="16.5" customHeight="1">
      <c r="A618" s="167"/>
      <c r="B618" s="167"/>
      <c r="C618" s="11"/>
      <c r="D618" s="2"/>
    </row>
    <row r="619" spans="1:4" ht="16.5" customHeight="1">
      <c r="A619" s="167"/>
      <c r="B619" s="167"/>
      <c r="C619" s="11"/>
      <c r="D619" s="2"/>
    </row>
    <row r="620" spans="1:4" ht="16.5" customHeight="1">
      <c r="A620" s="167"/>
      <c r="B620" s="167"/>
      <c r="C620" s="11"/>
      <c r="D620" s="2"/>
    </row>
    <row r="621" spans="1:4" ht="16.5" customHeight="1">
      <c r="A621" s="167"/>
      <c r="B621" s="167"/>
      <c r="C621" s="11"/>
      <c r="D621" s="2"/>
    </row>
    <row r="622" spans="1:4" ht="16.5" customHeight="1">
      <c r="A622" s="167"/>
      <c r="B622" s="167"/>
      <c r="C622" s="11"/>
      <c r="D622" s="2"/>
    </row>
    <row r="623" spans="1:4" ht="16.5" customHeight="1">
      <c r="A623" s="167"/>
      <c r="B623" s="167"/>
      <c r="C623" s="11"/>
      <c r="D623" s="2"/>
    </row>
    <row r="624" spans="1:4" ht="16.5" customHeight="1">
      <c r="A624" s="167"/>
      <c r="B624" s="167"/>
      <c r="C624" s="11"/>
      <c r="D624" s="2"/>
    </row>
    <row r="625" spans="1:4" ht="16.5" customHeight="1">
      <c r="A625" s="167"/>
      <c r="B625" s="167"/>
      <c r="C625" s="11"/>
      <c r="D625" s="2"/>
    </row>
    <row r="626" spans="1:4" ht="16.5" customHeight="1">
      <c r="A626" s="167"/>
      <c r="B626" s="167"/>
      <c r="C626" s="11"/>
      <c r="D626" s="2"/>
    </row>
    <row r="627" spans="1:4" ht="16.5" customHeight="1">
      <c r="A627" s="167"/>
      <c r="B627" s="167"/>
      <c r="C627" s="11"/>
      <c r="D627" s="2"/>
    </row>
    <row r="628" spans="1:4" ht="16.5" customHeight="1">
      <c r="A628" s="167"/>
      <c r="B628" s="167"/>
      <c r="C628" s="11"/>
      <c r="D628" s="2"/>
    </row>
    <row r="629" spans="1:4" ht="16.5" customHeight="1">
      <c r="A629" s="167"/>
      <c r="B629" s="167"/>
      <c r="C629" s="11"/>
      <c r="D629" s="2"/>
    </row>
    <row r="630" spans="1:4" ht="16.5" customHeight="1">
      <c r="A630" s="167"/>
      <c r="B630" s="167"/>
      <c r="C630" s="11"/>
      <c r="D630" s="2"/>
    </row>
    <row r="631" spans="1:4" ht="16.5" customHeight="1">
      <c r="A631" s="167"/>
      <c r="B631" s="167"/>
      <c r="C631" s="11"/>
      <c r="D631" s="2"/>
    </row>
    <row r="632" spans="1:4" ht="16.5" customHeight="1">
      <c r="A632" s="167"/>
      <c r="B632" s="167"/>
      <c r="C632" s="11"/>
      <c r="D632" s="2"/>
    </row>
    <row r="633" spans="1:4" ht="16.5" customHeight="1">
      <c r="A633" s="167"/>
      <c r="B633" s="167"/>
      <c r="C633" s="11"/>
      <c r="D633" s="2"/>
    </row>
    <row r="634" spans="1:4" ht="16.5" customHeight="1">
      <c r="A634" s="167"/>
      <c r="B634" s="167"/>
      <c r="C634" s="11"/>
      <c r="D634" s="2"/>
    </row>
    <row r="635" spans="1:4" ht="16.5" customHeight="1">
      <c r="A635" s="167"/>
      <c r="B635" s="167"/>
      <c r="C635" s="11"/>
      <c r="D635" s="2"/>
    </row>
    <row r="636" spans="1:4" ht="16.5" customHeight="1">
      <c r="A636" s="167"/>
      <c r="B636" s="167"/>
      <c r="C636" s="11"/>
      <c r="D636" s="2"/>
    </row>
    <row r="637" spans="1:4" ht="16.5" customHeight="1">
      <c r="A637" s="167"/>
      <c r="B637" s="169"/>
      <c r="C637" s="11"/>
      <c r="D637" s="2"/>
    </row>
    <row r="638" spans="1:4" ht="16.5" customHeight="1">
      <c r="A638" s="167"/>
      <c r="B638" s="170"/>
      <c r="C638" s="11"/>
      <c r="D638" s="2"/>
    </row>
    <row r="639" spans="1:4" ht="16.5" customHeight="1">
      <c r="A639" s="167"/>
      <c r="B639" s="167"/>
      <c r="C639" s="11"/>
      <c r="D639" s="2"/>
    </row>
    <row r="640" spans="1:4" ht="16.5" customHeight="1">
      <c r="A640" s="167"/>
      <c r="B640" s="167"/>
      <c r="C640" s="11"/>
      <c r="D640" s="2"/>
    </row>
    <row r="641" spans="1:4" ht="16.5" customHeight="1">
      <c r="A641" s="167"/>
      <c r="B641" s="167"/>
      <c r="C641" s="11"/>
      <c r="D641" s="2"/>
    </row>
    <row r="642" spans="1:4" ht="16.5" customHeight="1">
      <c r="A642" s="167"/>
      <c r="B642" s="167"/>
      <c r="C642" s="11"/>
      <c r="D642" s="2"/>
    </row>
    <row r="643" spans="1:4" ht="16.5" customHeight="1">
      <c r="A643" s="167"/>
      <c r="B643" s="167"/>
      <c r="C643" s="11"/>
      <c r="D643" s="2"/>
    </row>
    <row r="644" spans="1:4" ht="16.5" customHeight="1">
      <c r="A644" s="167"/>
      <c r="B644" s="167"/>
      <c r="C644" s="11"/>
      <c r="D644" s="2"/>
    </row>
    <row r="645" spans="1:4" ht="16.5" customHeight="1">
      <c r="A645" s="167"/>
      <c r="B645" s="167"/>
      <c r="C645" s="11"/>
      <c r="D645" s="2"/>
    </row>
    <row r="646" spans="1:4" ht="16.5" customHeight="1">
      <c r="A646" s="160"/>
      <c r="B646" s="160"/>
      <c r="C646" s="11"/>
      <c r="D646" s="2"/>
    </row>
    <row r="647" spans="1:4" ht="16.5" customHeight="1">
      <c r="A647" s="160"/>
      <c r="B647" s="160"/>
      <c r="C647" s="11"/>
      <c r="D647" s="2"/>
    </row>
    <row r="648" spans="1:4" ht="16.5" customHeight="1">
      <c r="A648" s="160"/>
      <c r="B648" s="160"/>
      <c r="C648" s="11"/>
      <c r="D648" s="2"/>
    </row>
    <row r="649" spans="1:4" ht="16.5" customHeight="1">
      <c r="A649" s="160"/>
      <c r="B649" s="160"/>
      <c r="C649" s="11"/>
      <c r="D649" s="2"/>
    </row>
    <row r="650" spans="1:4" ht="16.5" customHeight="1">
      <c r="A650" s="160"/>
      <c r="B650" s="160"/>
      <c r="C650" s="11"/>
      <c r="D650" s="2"/>
    </row>
    <row r="651" spans="1:4" ht="16.5" customHeight="1">
      <c r="A651" s="160"/>
      <c r="B651" s="160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2:4" ht="16.5" customHeight="1">
      <c r="B659" s="155"/>
      <c r="C659" s="11"/>
      <c r="D659" s="2"/>
    </row>
    <row r="660" spans="2:4" ht="16.5" customHeight="1">
      <c r="B660" s="155"/>
      <c r="C660" s="11"/>
      <c r="D660" s="2"/>
    </row>
    <row r="661" spans="2:4" ht="16.5" customHeight="1">
      <c r="B661" s="155"/>
      <c r="C661" s="11"/>
      <c r="D661" s="2"/>
    </row>
    <row r="662" spans="2:4" ht="16.5" customHeight="1">
      <c r="B662" s="155"/>
      <c r="C662" s="11"/>
      <c r="D662" s="2"/>
    </row>
    <row r="663" spans="2:4" ht="16.5" customHeight="1">
      <c r="B663" s="155"/>
      <c r="C663" s="11"/>
      <c r="D663" s="2"/>
    </row>
    <row r="664" spans="2:4" ht="16.5" customHeight="1">
      <c r="B664" s="155"/>
      <c r="C664" s="11"/>
      <c r="D664" s="2"/>
    </row>
    <row r="665" spans="2:4" ht="16.5" customHeight="1">
      <c r="B665" s="155"/>
      <c r="C665" s="11"/>
      <c r="D665" s="2"/>
    </row>
    <row r="666" spans="2:4" ht="16.5" customHeight="1">
      <c r="B666" s="155"/>
      <c r="C666" s="11"/>
      <c r="D666" s="2"/>
    </row>
    <row r="667" spans="2:4" ht="16.5" customHeight="1">
      <c r="B667" s="155"/>
      <c r="C667" s="11"/>
      <c r="D667" s="2"/>
    </row>
    <row r="668" spans="2:4" ht="16.5" customHeight="1">
      <c r="B668" s="155"/>
      <c r="C668" s="11"/>
      <c r="D668" s="2"/>
    </row>
    <row r="669" spans="2:4" ht="16.5" customHeight="1">
      <c r="B669" s="155"/>
      <c r="C669" s="11"/>
      <c r="D669" s="2"/>
    </row>
    <row r="670" spans="2:4" ht="16.5" customHeight="1">
      <c r="B670" s="155"/>
      <c r="C670" s="11"/>
      <c r="D670" s="2"/>
    </row>
    <row r="671" spans="2:4" ht="16.5" customHeight="1">
      <c r="B671" s="155"/>
      <c r="C671" s="11"/>
      <c r="D671" s="2"/>
    </row>
    <row r="672" spans="2:4" ht="16.5" customHeight="1">
      <c r="B672" s="155"/>
      <c r="C672" s="11"/>
      <c r="D672" s="2"/>
    </row>
    <row r="673" spans="2:4" ht="16.5" customHeight="1">
      <c r="B673" s="155"/>
      <c r="C673" s="11"/>
      <c r="D673" s="2"/>
    </row>
    <row r="674" spans="2:4" ht="16.5" customHeight="1">
      <c r="B674" s="155"/>
      <c r="C674" s="11"/>
      <c r="D674" s="2"/>
    </row>
    <row r="675" spans="2:4" ht="16.5" customHeight="1">
      <c r="B675" s="155"/>
      <c r="C675" s="11"/>
      <c r="D675" s="2"/>
    </row>
    <row r="676" spans="2:4" ht="16.5" customHeight="1">
      <c r="B676" s="155"/>
      <c r="C676" s="11"/>
      <c r="D676" s="2"/>
    </row>
    <row r="677" spans="2:4" ht="16.5" customHeight="1">
      <c r="B677" s="155"/>
      <c r="C677" s="11"/>
      <c r="D677" s="2"/>
    </row>
    <row r="678" spans="2:4" ht="16.5" customHeight="1">
      <c r="B678" s="155"/>
      <c r="C678" s="11"/>
      <c r="D678" s="2"/>
    </row>
    <row r="679" spans="2:4" ht="16.5" customHeight="1">
      <c r="B679" s="155"/>
      <c r="C679" s="11"/>
      <c r="D679" s="2"/>
    </row>
    <row r="680" spans="2:4" ht="16.5" customHeight="1">
      <c r="B680" s="155"/>
      <c r="C680" s="11"/>
      <c r="D680" s="2"/>
    </row>
    <row r="681" spans="2:4" ht="16.5" customHeight="1">
      <c r="B681" s="155"/>
      <c r="C681" s="11"/>
      <c r="D681" s="2"/>
    </row>
    <row r="682" spans="2:4" ht="16.5" customHeight="1">
      <c r="B682" s="155"/>
      <c r="C682" s="11"/>
      <c r="D682" s="2"/>
    </row>
    <row r="683" spans="2:4" ht="16.5" customHeight="1">
      <c r="B683" s="155"/>
      <c r="C683" s="11"/>
      <c r="D683" s="2"/>
    </row>
    <row r="684" spans="2:4" ht="16.5" customHeight="1">
      <c r="B684" s="155"/>
      <c r="C684" s="11"/>
      <c r="D684" s="2"/>
    </row>
    <row r="685" spans="2:4" ht="16.5" customHeight="1">
      <c r="B685" s="155"/>
      <c r="C685" s="11"/>
      <c r="D685" s="2"/>
    </row>
    <row r="686" spans="2:4" ht="16.5" customHeight="1">
      <c r="B686" s="155"/>
      <c r="C686" s="11"/>
      <c r="D686" s="2"/>
    </row>
    <row r="687" spans="2:4" ht="16.5" customHeight="1">
      <c r="B687" s="155"/>
      <c r="C687" s="11"/>
      <c r="D687" s="2"/>
    </row>
    <row r="688" spans="2:4" ht="16.5" customHeight="1">
      <c r="B688" s="155"/>
      <c r="C688" s="11"/>
      <c r="D688" s="2"/>
    </row>
    <row r="689" spans="2:4" ht="16.5" customHeight="1">
      <c r="B689" s="155"/>
      <c r="C689" s="11"/>
      <c r="D689" s="2"/>
    </row>
    <row r="690" spans="2:4" ht="16.5" customHeight="1">
      <c r="B690" s="155"/>
      <c r="C690" s="11"/>
      <c r="D690" s="2"/>
    </row>
    <row r="691" spans="2:4" ht="16.5" customHeight="1">
      <c r="B691" s="155"/>
      <c r="C691" s="11"/>
      <c r="D691" s="2"/>
    </row>
    <row r="692" spans="2:4" ht="16.5" customHeight="1">
      <c r="B692" s="155"/>
      <c r="C692" s="11"/>
      <c r="D692" s="2"/>
    </row>
    <row r="693" spans="2:4" ht="16.5" customHeight="1">
      <c r="B693" s="155"/>
      <c r="C693" s="11"/>
      <c r="D693" s="2"/>
    </row>
    <row r="694" spans="2:4" ht="16.5" customHeight="1">
      <c r="B694" s="155"/>
      <c r="C694" s="11"/>
      <c r="D694" s="2"/>
    </row>
    <row r="695" spans="2:4" ht="16.5" customHeight="1">
      <c r="B695" s="155"/>
      <c r="C695" s="11"/>
      <c r="D695" s="2"/>
    </row>
    <row r="696" spans="2:4" ht="16.5" customHeight="1">
      <c r="B696" s="155"/>
      <c r="C696" s="11"/>
      <c r="D696" s="2"/>
    </row>
    <row r="697" spans="2:4" ht="16.5" customHeight="1">
      <c r="B697" s="155"/>
      <c r="C697" s="11"/>
      <c r="D697" s="2"/>
    </row>
    <row r="698" spans="2:4" ht="16.5" customHeight="1">
      <c r="B698" s="155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  <row r="852" spans="2:4" ht="16.5" customHeight="1">
      <c r="B852" s="155"/>
      <c r="C852" s="11"/>
      <c r="D852" s="2"/>
    </row>
    <row r="853" spans="2:4" ht="16.5" customHeight="1">
      <c r="B853" s="155"/>
      <c r="C853" s="11"/>
      <c r="D853" s="2"/>
    </row>
  </sheetData>
  <sheetProtection/>
  <mergeCells count="8">
    <mergeCell ref="A3:D3"/>
    <mergeCell ref="A56:D56"/>
    <mergeCell ref="A57:D57"/>
    <mergeCell ref="A1:D1"/>
    <mergeCell ref="A2:D2"/>
    <mergeCell ref="A44:D44"/>
    <mergeCell ref="A45:D45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40" t="s">
        <v>64</v>
      </c>
      <c r="B2" s="340"/>
      <c r="C2" s="340"/>
      <c r="D2" s="340"/>
      <c r="E2" s="340"/>
      <c r="F2" s="340"/>
      <c r="G2" s="344" t="s">
        <v>65</v>
      </c>
      <c r="H2" s="340"/>
      <c r="I2" s="340"/>
      <c r="J2" s="340"/>
    </row>
    <row r="3" spans="1:10" ht="23.25">
      <c r="A3" s="340" t="s">
        <v>66</v>
      </c>
      <c r="B3" s="340"/>
      <c r="C3" s="340"/>
      <c r="D3" s="340"/>
      <c r="E3" s="340"/>
      <c r="F3" s="340"/>
      <c r="G3" s="344" t="s">
        <v>89</v>
      </c>
      <c r="H3" s="340"/>
      <c r="I3" s="340"/>
      <c r="J3" s="340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35" t="s">
        <v>551</v>
      </c>
      <c r="B5" s="335"/>
      <c r="C5" s="335"/>
      <c r="D5" s="335"/>
      <c r="E5" s="335"/>
      <c r="F5" s="341"/>
      <c r="G5" s="30"/>
      <c r="H5" s="30"/>
      <c r="I5" s="30"/>
      <c r="J5" s="31">
        <v>11499199.17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2" t="s">
        <v>67</v>
      </c>
      <c r="B7" s="342"/>
      <c r="C7" s="342"/>
      <c r="D7" s="342"/>
      <c r="E7" s="342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69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552</v>
      </c>
      <c r="B9" s="34"/>
      <c r="C9" s="55" t="s">
        <v>553</v>
      </c>
      <c r="D9" s="34"/>
      <c r="E9" s="34"/>
      <c r="F9" s="35">
        <v>3600</v>
      </c>
      <c r="G9" s="30"/>
      <c r="H9" s="30"/>
      <c r="I9" s="30"/>
      <c r="J9" s="31"/>
    </row>
    <row r="10" spans="1:10" ht="23.25">
      <c r="A10" s="55" t="s">
        <v>554</v>
      </c>
      <c r="B10" s="34"/>
      <c r="C10" s="55" t="s">
        <v>555</v>
      </c>
      <c r="D10" s="34"/>
      <c r="E10" s="34"/>
      <c r="F10" s="36">
        <v>1920</v>
      </c>
      <c r="G10" s="30"/>
      <c r="H10" s="30"/>
      <c r="I10" s="30"/>
      <c r="J10" s="37"/>
    </row>
    <row r="11" spans="1:10" ht="23.25">
      <c r="A11" s="55"/>
      <c r="B11" s="34"/>
      <c r="C11" s="55" t="s">
        <v>556</v>
      </c>
      <c r="D11" s="34"/>
      <c r="E11" s="34"/>
      <c r="F11" s="36">
        <v>76470.2</v>
      </c>
      <c r="G11" s="30"/>
      <c r="H11" s="30"/>
      <c r="I11" s="30"/>
      <c r="J11" s="36"/>
    </row>
    <row r="12" spans="1:10" ht="23.25">
      <c r="A12" s="55"/>
      <c r="B12" s="34"/>
      <c r="C12" s="55" t="s">
        <v>557</v>
      </c>
      <c r="D12" s="34"/>
      <c r="E12" s="34"/>
      <c r="F12" s="36">
        <v>7800</v>
      </c>
      <c r="G12" s="30"/>
      <c r="H12" s="30"/>
      <c r="I12" s="30"/>
      <c r="J12" s="31"/>
    </row>
    <row r="13" spans="1:10" ht="23.25">
      <c r="A13" s="55" t="s">
        <v>558</v>
      </c>
      <c r="B13" s="34"/>
      <c r="C13" s="55" t="s">
        <v>559</v>
      </c>
      <c r="D13" s="34"/>
      <c r="E13" s="34"/>
      <c r="F13" s="36">
        <v>2588</v>
      </c>
      <c r="G13" s="30"/>
      <c r="H13" s="30"/>
      <c r="I13" s="30"/>
      <c r="J13" s="31"/>
    </row>
    <row r="14" spans="1:10" ht="23.25">
      <c r="A14" s="55"/>
      <c r="B14" s="34"/>
      <c r="C14" s="55" t="s">
        <v>560</v>
      </c>
      <c r="D14" s="34"/>
      <c r="E14" s="34"/>
      <c r="F14" s="36">
        <v>2788</v>
      </c>
      <c r="G14" s="30"/>
      <c r="H14" s="30"/>
      <c r="I14" s="30"/>
      <c r="J14" s="31"/>
    </row>
    <row r="15" spans="1:10" ht="23.25">
      <c r="A15" s="55"/>
      <c r="B15" s="34"/>
      <c r="C15" s="55" t="s">
        <v>561</v>
      </c>
      <c r="D15" s="34"/>
      <c r="E15" s="34"/>
      <c r="F15" s="36">
        <v>133885</v>
      </c>
      <c r="G15" s="30"/>
      <c r="H15" s="30"/>
      <c r="I15" s="30"/>
      <c r="J15" s="31"/>
    </row>
    <row r="16" spans="1:10" ht="23.25">
      <c r="A16" s="55"/>
      <c r="B16" s="34"/>
      <c r="C16" s="55" t="s">
        <v>562</v>
      </c>
      <c r="D16" s="34"/>
      <c r="E16" s="34"/>
      <c r="F16" s="36">
        <v>133885</v>
      </c>
      <c r="G16" s="30"/>
      <c r="H16" s="30"/>
      <c r="I16" s="30"/>
      <c r="J16" s="31"/>
    </row>
    <row r="17" spans="1:10" ht="23.25">
      <c r="A17" s="55" t="s">
        <v>564</v>
      </c>
      <c r="B17" s="34"/>
      <c r="C17" s="55" t="s">
        <v>563</v>
      </c>
      <c r="D17" s="34"/>
      <c r="E17" s="34"/>
      <c r="F17" s="36">
        <v>50000</v>
      </c>
      <c r="G17" s="30"/>
      <c r="H17" s="30"/>
      <c r="I17" s="30"/>
      <c r="J17" s="31"/>
    </row>
    <row r="18" spans="1:10" ht="23.25">
      <c r="A18" s="55"/>
      <c r="B18" s="34"/>
      <c r="C18" s="55" t="s">
        <v>565</v>
      </c>
      <c r="D18" s="34"/>
      <c r="E18" s="34"/>
      <c r="F18" s="36">
        <v>12445.84</v>
      </c>
      <c r="G18" s="30"/>
      <c r="H18" s="30"/>
      <c r="I18" s="30"/>
      <c r="J18" s="31"/>
    </row>
    <row r="19" spans="1:10" ht="23.25">
      <c r="A19" s="55"/>
      <c r="B19" s="34"/>
      <c r="C19" s="55" t="s">
        <v>566</v>
      </c>
      <c r="D19" s="34"/>
      <c r="E19" s="34"/>
      <c r="F19" s="36">
        <v>12043.58</v>
      </c>
      <c r="G19" s="30"/>
      <c r="H19" s="30"/>
      <c r="I19" s="30"/>
      <c r="J19" s="31">
        <v>437425.62</v>
      </c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31"/>
      <c r="B21" s="331"/>
      <c r="C21" s="331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32" t="s">
        <v>567</v>
      </c>
      <c r="B25" s="332"/>
      <c r="C25" s="332"/>
      <c r="D25" s="332"/>
      <c r="E25" s="332"/>
      <c r="F25" s="333"/>
      <c r="G25" s="30"/>
      <c r="H25" s="30"/>
      <c r="I25" s="30"/>
      <c r="J25" s="31">
        <f>SUM(J5-J19)</f>
        <v>11061773.55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257</v>
      </c>
    </row>
    <row r="27" spans="1:10" ht="23.25">
      <c r="A27" s="56" t="s">
        <v>71</v>
      </c>
      <c r="B27" s="39"/>
      <c r="C27" s="56"/>
      <c r="D27" s="39"/>
      <c r="E27" s="39"/>
      <c r="F27" s="40"/>
      <c r="G27" s="334" t="s">
        <v>72</v>
      </c>
      <c r="H27" s="335"/>
      <c r="I27" s="335"/>
      <c r="J27" s="335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36" t="s">
        <v>568</v>
      </c>
      <c r="B29" s="336"/>
      <c r="C29" s="336"/>
      <c r="D29" s="336"/>
      <c r="E29" s="336"/>
      <c r="F29" s="337"/>
      <c r="G29" s="338" t="s">
        <v>569</v>
      </c>
      <c r="H29" s="339"/>
      <c r="I29" s="339"/>
      <c r="J29" s="339"/>
    </row>
    <row r="30" spans="1:10" ht="23.25">
      <c r="A30" s="339" t="s">
        <v>518</v>
      </c>
      <c r="B30" s="339"/>
      <c r="C30" s="339"/>
      <c r="D30" s="339"/>
      <c r="E30" s="32"/>
      <c r="F30" s="36"/>
      <c r="G30" s="338" t="s">
        <v>517</v>
      </c>
      <c r="H30" s="339"/>
      <c r="I30" s="339"/>
      <c r="J30" s="339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  <row r="34" ht="21.75" customHeight="1"/>
    <row r="35" ht="21.75" customHeight="1"/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SheetLayoutView="99" zoomScalePageLayoutView="0" workbookViewId="0" topLeftCell="A1">
      <selection activeCell="G71" sqref="G71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5" t="s">
        <v>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16.5">
      <c r="A2" s="345" t="s">
        <v>491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6.5">
      <c r="A3" s="346" t="s">
        <v>574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="123" customFormat="1" ht="14.25">
      <c r="Q4" s="191"/>
    </row>
    <row r="5" spans="1:18" s="64" customFormat="1" ht="14.25">
      <c r="A5" s="65" t="s">
        <v>116</v>
      </c>
      <c r="B5" s="347" t="s">
        <v>93</v>
      </c>
      <c r="C5" s="348" t="s">
        <v>94</v>
      </c>
      <c r="D5" s="348"/>
      <c r="E5" s="348"/>
      <c r="F5" s="87" t="s">
        <v>95</v>
      </c>
      <c r="G5" s="348" t="s">
        <v>96</v>
      </c>
      <c r="H5" s="348"/>
      <c r="I5" s="348" t="s">
        <v>97</v>
      </c>
      <c r="J5" s="348"/>
      <c r="K5" s="348" t="s">
        <v>99</v>
      </c>
      <c r="L5" s="348"/>
      <c r="M5" s="349" t="s">
        <v>397</v>
      </c>
      <c r="N5" s="350"/>
      <c r="O5" s="349" t="s">
        <v>100</v>
      </c>
      <c r="P5" s="350"/>
      <c r="Q5" s="214" t="s">
        <v>114</v>
      </c>
      <c r="R5" s="351" t="s">
        <v>19</v>
      </c>
    </row>
    <row r="6" spans="1:18" s="64" customFormat="1" ht="14.25">
      <c r="A6" s="66" t="s">
        <v>117</v>
      </c>
      <c r="B6" s="347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477</v>
      </c>
      <c r="N6" s="87" t="s">
        <v>396</v>
      </c>
      <c r="O6" s="87" t="s">
        <v>110</v>
      </c>
      <c r="P6" s="87" t="s">
        <v>111</v>
      </c>
      <c r="Q6" s="192" t="s">
        <v>115</v>
      </c>
      <c r="R6" s="352"/>
    </row>
    <row r="7" spans="1:18" ht="14.25">
      <c r="A7" s="88" t="s">
        <v>259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260</v>
      </c>
      <c r="B8" s="67">
        <f>94000-6152-5752-5752</f>
        <v>76344</v>
      </c>
      <c r="C8" s="67" t="s">
        <v>257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76344</v>
      </c>
    </row>
    <row r="9" spans="1:18" ht="14.25">
      <c r="A9" s="90" t="s">
        <v>261</v>
      </c>
      <c r="B9" s="70">
        <f>30000-2500-2500-2000</f>
        <v>23000</v>
      </c>
      <c r="C9" s="70"/>
      <c r="D9" s="70"/>
      <c r="E9" s="70"/>
      <c r="F9" s="70" t="s">
        <v>257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23000</v>
      </c>
    </row>
    <row r="10" spans="1:18" ht="14.25">
      <c r="A10" s="90" t="s">
        <v>262</v>
      </c>
      <c r="B10" s="70">
        <f>287540-46000</f>
        <v>241540</v>
      </c>
      <c r="C10" s="70"/>
      <c r="D10" s="70"/>
      <c r="E10" s="70"/>
      <c r="F10" s="70"/>
      <c r="G10" s="70"/>
      <c r="H10" s="70"/>
      <c r="I10" s="70"/>
      <c r="J10" s="70"/>
      <c r="K10" s="76"/>
      <c r="L10" s="286"/>
      <c r="M10" s="70"/>
      <c r="N10" s="70"/>
      <c r="O10" s="70"/>
      <c r="P10" s="70"/>
      <c r="Q10" s="70"/>
      <c r="R10" s="70">
        <f>SUM(B10:P10)</f>
        <v>241540</v>
      </c>
    </row>
    <row r="11" spans="1:18" ht="14.25">
      <c r="A11" s="90" t="s">
        <v>263</v>
      </c>
      <c r="B11" s="70">
        <v>140000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140000</v>
      </c>
    </row>
    <row r="12" spans="1:18" ht="14.25">
      <c r="A12" s="90" t="s">
        <v>264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516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480890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480890</v>
      </c>
    </row>
    <row r="15" spans="1:18" ht="15" thickTop="1">
      <c r="A15" s="92" t="s">
        <v>265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266</v>
      </c>
      <c r="B16" s="76"/>
      <c r="C16" s="70">
        <f>520000-42840-42840-42840</f>
        <v>391480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391480</v>
      </c>
    </row>
    <row r="17" spans="1:18" ht="14.25">
      <c r="A17" s="89" t="s">
        <v>267</v>
      </c>
      <c r="B17" s="77"/>
      <c r="C17" s="77">
        <f>43000-3510-3510-3510</f>
        <v>32470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32470</v>
      </c>
    </row>
    <row r="18" spans="1:18" ht="14.25">
      <c r="A18" s="90" t="s">
        <v>268</v>
      </c>
      <c r="B18" s="76"/>
      <c r="C18" s="76">
        <f>43000-3510-3510-3510</f>
        <v>32470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32470</v>
      </c>
    </row>
    <row r="19" spans="1:18" ht="14.25">
      <c r="A19" s="90" t="s">
        <v>269</v>
      </c>
      <c r="B19" s="76"/>
      <c r="C19" s="70">
        <f>87000-7200-7200-7200</f>
        <v>65400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65400</v>
      </c>
    </row>
    <row r="20" spans="1:18" ht="14.25">
      <c r="A20" s="89" t="s">
        <v>270</v>
      </c>
      <c r="B20" s="77"/>
      <c r="C20" s="77">
        <f>2059600-171600-171600-171600</f>
        <v>1544800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1544800</v>
      </c>
    </row>
    <row r="21" spans="1:18" ht="14.25">
      <c r="A21" s="90" t="s">
        <v>271</v>
      </c>
      <c r="B21" s="76"/>
      <c r="C21" s="70">
        <f>87000-7200-7200-7200</f>
        <v>65400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65400</v>
      </c>
    </row>
    <row r="22" spans="1:18" ht="15" thickBot="1">
      <c r="A22" s="90" t="s">
        <v>36</v>
      </c>
      <c r="B22" s="93"/>
      <c r="C22" s="80">
        <f>SUM(C16:C21)</f>
        <v>2132020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2132020</v>
      </c>
    </row>
    <row r="23" spans="1:18" ht="15" thickTop="1">
      <c r="A23" s="89" t="s">
        <v>272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273</v>
      </c>
      <c r="B24" s="76"/>
      <c r="C24" s="76">
        <f>2166000-170400-169270-169270</f>
        <v>1657060</v>
      </c>
      <c r="D24" s="76"/>
      <c r="E24" s="76">
        <f>1123800-87010-87010-87010</f>
        <v>862770</v>
      </c>
      <c r="F24" s="76"/>
      <c r="G24" s="76">
        <f>280500-21620-21620-21620</f>
        <v>215640</v>
      </c>
      <c r="H24" s="76"/>
      <c r="I24" s="76">
        <v>189600</v>
      </c>
      <c r="J24" s="76"/>
      <c r="K24" s="76">
        <f>720000-54890-54890-54890</f>
        <v>555330</v>
      </c>
      <c r="L24" s="76"/>
      <c r="M24" s="76"/>
      <c r="N24" s="76"/>
      <c r="O24" s="76"/>
      <c r="P24" s="70"/>
      <c r="Q24" s="76"/>
      <c r="R24" s="70">
        <f>SUM(C24:Q24)</f>
        <v>3480400</v>
      </c>
    </row>
    <row r="25" spans="1:18" ht="14.25">
      <c r="A25" s="90" t="s">
        <v>274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</f>
        <v>18000</v>
      </c>
      <c r="L25" s="76"/>
      <c r="M25" s="76"/>
      <c r="N25" s="76"/>
      <c r="O25" s="76"/>
      <c r="P25" s="70"/>
      <c r="Q25" s="76"/>
      <c r="R25" s="70">
        <f>SUM(C25:P25)</f>
        <v>18000</v>
      </c>
    </row>
    <row r="26" spans="1:18" ht="14.25">
      <c r="A26" s="89" t="s">
        <v>275</v>
      </c>
      <c r="B26" s="77"/>
      <c r="C26" s="77">
        <f>176500-14700-14700-14700</f>
        <v>132400</v>
      </c>
      <c r="D26" s="77"/>
      <c r="E26" s="77">
        <f>42000-3500-3500-3500</f>
        <v>31500</v>
      </c>
      <c r="F26" s="77"/>
      <c r="G26" s="77">
        <f>42000-3500-3500-3500</f>
        <v>31500</v>
      </c>
      <c r="H26" s="77"/>
      <c r="I26" s="77">
        <v>42000</v>
      </c>
      <c r="J26" s="77"/>
      <c r="K26" s="77">
        <f>42000-3500-3500-3500</f>
        <v>31500</v>
      </c>
      <c r="L26" s="77"/>
      <c r="M26" s="77"/>
      <c r="N26" s="77"/>
      <c r="O26" s="77"/>
      <c r="P26" s="67"/>
      <c r="Q26" s="77"/>
      <c r="R26" s="67">
        <f>SUM(C26:P26)</f>
        <v>268900</v>
      </c>
    </row>
    <row r="27" spans="1:18" ht="15" thickBot="1">
      <c r="A27" s="90" t="s">
        <v>36</v>
      </c>
      <c r="B27" s="93"/>
      <c r="C27" s="80">
        <f>SUM(C24:C26)</f>
        <v>1789460</v>
      </c>
      <c r="D27" s="93"/>
      <c r="E27" s="93">
        <f>SUM(E24:E26)</f>
        <v>894270</v>
      </c>
      <c r="F27" s="93">
        <v>0</v>
      </c>
      <c r="G27" s="93">
        <f>SUM(G24:G26)</f>
        <v>247140</v>
      </c>
      <c r="H27" s="93">
        <v>0</v>
      </c>
      <c r="I27" s="93">
        <f>SUM(I24:I26)</f>
        <v>231600</v>
      </c>
      <c r="J27" s="93">
        <v>0</v>
      </c>
      <c r="K27" s="93">
        <f>SUM(K24:K26)</f>
        <v>604830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3767300</v>
      </c>
    </row>
    <row r="28" spans="1:18" ht="15" thickTop="1">
      <c r="A28" s="89" t="s">
        <v>272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276</v>
      </c>
      <c r="B29" s="76"/>
      <c r="C29" s="76">
        <f>170000-12810-12810-12810</f>
        <v>131570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131570</v>
      </c>
    </row>
    <row r="30" spans="1:18" ht="14.25">
      <c r="A30" s="89" t="s">
        <v>277</v>
      </c>
      <c r="B30" s="78"/>
      <c r="C30" s="77">
        <f>12000-475-475-475</f>
        <v>10575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10575</v>
      </c>
    </row>
    <row r="31" spans="1:18" ht="15" thickBot="1">
      <c r="A31" s="90" t="s">
        <v>36</v>
      </c>
      <c r="B31" s="93"/>
      <c r="C31" s="80">
        <f>SUM(C29:C30)</f>
        <v>142145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142145</v>
      </c>
    </row>
    <row r="32" ht="15" thickTop="1">
      <c r="C32" s="196"/>
    </row>
    <row r="43" spans="1:18" s="64" customFormat="1" ht="14.25">
      <c r="A43" s="65" t="s">
        <v>116</v>
      </c>
      <c r="B43" s="347" t="s">
        <v>93</v>
      </c>
      <c r="C43" s="348" t="s">
        <v>94</v>
      </c>
      <c r="D43" s="348"/>
      <c r="E43" s="348"/>
      <c r="F43" s="87" t="s">
        <v>95</v>
      </c>
      <c r="G43" s="348" t="s">
        <v>96</v>
      </c>
      <c r="H43" s="348"/>
      <c r="I43" s="348" t="s">
        <v>97</v>
      </c>
      <c r="J43" s="348"/>
      <c r="K43" s="348" t="s">
        <v>99</v>
      </c>
      <c r="L43" s="348"/>
      <c r="M43" s="349" t="s">
        <v>397</v>
      </c>
      <c r="N43" s="350"/>
      <c r="O43" s="348" t="s">
        <v>100</v>
      </c>
      <c r="P43" s="348"/>
      <c r="Q43" s="214"/>
      <c r="R43" s="351" t="s">
        <v>19</v>
      </c>
    </row>
    <row r="44" spans="1:18" s="64" customFormat="1" ht="14.25">
      <c r="A44" s="66" t="s">
        <v>117</v>
      </c>
      <c r="B44" s="347"/>
      <c r="C44" s="87" t="s">
        <v>101</v>
      </c>
      <c r="D44" s="87" t="s">
        <v>112</v>
      </c>
      <c r="E44" s="87" t="s">
        <v>102</v>
      </c>
      <c r="F44" s="87" t="s">
        <v>103</v>
      </c>
      <c r="G44" s="87" t="s">
        <v>104</v>
      </c>
      <c r="H44" s="87" t="s">
        <v>105</v>
      </c>
      <c r="I44" s="87" t="s">
        <v>106</v>
      </c>
      <c r="J44" s="87" t="s">
        <v>107</v>
      </c>
      <c r="K44" s="87" t="s">
        <v>108</v>
      </c>
      <c r="L44" s="87" t="s">
        <v>109</v>
      </c>
      <c r="M44" s="87" t="s">
        <v>477</v>
      </c>
      <c r="N44" s="87" t="s">
        <v>396</v>
      </c>
      <c r="O44" s="87" t="s">
        <v>110</v>
      </c>
      <c r="P44" s="87" t="s">
        <v>111</v>
      </c>
      <c r="Q44" s="192" t="s">
        <v>115</v>
      </c>
      <c r="R44" s="352"/>
    </row>
    <row r="45" spans="1:18" ht="14.25">
      <c r="A45" s="92" t="s">
        <v>272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278</v>
      </c>
      <c r="B46" s="70"/>
      <c r="C46" s="70">
        <f>376000-29760-29760-29760</f>
        <v>286720</v>
      </c>
      <c r="D46" s="70"/>
      <c r="E46" s="70">
        <f>451000-21150-21150-21150</f>
        <v>387550</v>
      </c>
      <c r="F46" s="70"/>
      <c r="G46" s="70">
        <f>444500-26620-26620-26620</f>
        <v>364640</v>
      </c>
      <c r="H46" s="70">
        <f>51000-51000</f>
        <v>0</v>
      </c>
      <c r="I46" s="70">
        <f>112500-9000-9000-9000</f>
        <v>85500</v>
      </c>
      <c r="J46" s="70"/>
      <c r="K46" s="70">
        <f>240000-19080-19080-19080</f>
        <v>182760</v>
      </c>
      <c r="L46" s="70"/>
      <c r="M46" s="70"/>
      <c r="N46" s="70"/>
      <c r="O46" s="70"/>
      <c r="P46" s="70"/>
      <c r="Q46" s="70"/>
      <c r="R46" s="70">
        <f>SUM(C46:Q46)</f>
        <v>1307170</v>
      </c>
    </row>
    <row r="47" spans="1:18" ht="14.25">
      <c r="A47" s="89" t="s">
        <v>279</v>
      </c>
      <c r="B47" s="67"/>
      <c r="C47" s="67">
        <f>60000-4925-4925-4925</f>
        <v>45225</v>
      </c>
      <c r="D47" s="67"/>
      <c r="E47" s="67">
        <f>36000-2135-2135-2135</f>
        <v>29595</v>
      </c>
      <c r="F47" s="67"/>
      <c r="G47" s="67">
        <f>24000-1000-1000-1000</f>
        <v>21000</v>
      </c>
      <c r="H47" s="67"/>
      <c r="I47" s="67">
        <f>12000-1000-1000-1000</f>
        <v>9000</v>
      </c>
      <c r="J47" s="67"/>
      <c r="K47" s="67">
        <f>36000-3000-3000-3000</f>
        <v>27000</v>
      </c>
      <c r="L47" s="67"/>
      <c r="M47" s="67"/>
      <c r="N47" s="67"/>
      <c r="O47" s="67"/>
      <c r="P47" s="67"/>
      <c r="Q47" s="67"/>
      <c r="R47" s="67">
        <f>SUM(C47:Q47)</f>
        <v>131820</v>
      </c>
    </row>
    <row r="48" spans="1:18" ht="15" thickBot="1">
      <c r="A48" s="90" t="s">
        <v>36</v>
      </c>
      <c r="B48" s="61"/>
      <c r="C48" s="72">
        <f>SUM(C46:C47)</f>
        <v>331945</v>
      </c>
      <c r="D48" s="61">
        <f>SUM(D46:D47)</f>
        <v>0</v>
      </c>
      <c r="E48" s="61">
        <f>SUM(E45:E47)</f>
        <v>417145</v>
      </c>
      <c r="F48" s="61">
        <v>0</v>
      </c>
      <c r="G48" s="61">
        <f>SUM(G46:G47)</f>
        <v>385640</v>
      </c>
      <c r="H48" s="61">
        <f>SUM(H46)</f>
        <v>0</v>
      </c>
      <c r="I48" s="61">
        <f>SUM(I46:I47)</f>
        <v>94500</v>
      </c>
      <c r="J48" s="61">
        <v>0</v>
      </c>
      <c r="K48" s="61">
        <f>SUM(K46:K47)</f>
        <v>209760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1438990</v>
      </c>
    </row>
    <row r="49" spans="1:18" ht="15" thickTop="1">
      <c r="A49" s="92" t="s">
        <v>280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281</v>
      </c>
      <c r="B50" s="76"/>
      <c r="C50" s="76">
        <v>220000</v>
      </c>
      <c r="D50" s="76"/>
      <c r="E50" s="76">
        <v>120000</v>
      </c>
      <c r="F50" s="76"/>
      <c r="G50" s="76">
        <v>80000</v>
      </c>
      <c r="H50" s="76"/>
      <c r="I50" s="76">
        <v>10000</v>
      </c>
      <c r="J50" s="76"/>
      <c r="K50" s="76">
        <f>129000-2800</f>
        <v>126200</v>
      </c>
      <c r="L50" s="76">
        <v>0</v>
      </c>
      <c r="M50" s="76"/>
      <c r="N50" s="76"/>
      <c r="O50" s="76"/>
      <c r="P50" s="70"/>
      <c r="Q50" s="76"/>
      <c r="R50" s="70">
        <f>SUM(C50:P50)</f>
        <v>556200</v>
      </c>
    </row>
    <row r="51" spans="1:18" ht="14.25">
      <c r="A51" s="89" t="s">
        <v>282</v>
      </c>
      <c r="B51" s="77"/>
      <c r="C51" s="77">
        <v>10000</v>
      </c>
      <c r="D51" s="77"/>
      <c r="E51" s="77">
        <f>10000-9660+21000+5000-7560</f>
        <v>18780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38780</v>
      </c>
    </row>
    <row r="52" spans="1:18" ht="14.25">
      <c r="A52" s="90" t="s">
        <v>283</v>
      </c>
      <c r="B52" s="76"/>
      <c r="C52" s="76">
        <f>170000-10000-10000-10000</f>
        <v>140000</v>
      </c>
      <c r="D52" s="76"/>
      <c r="E52" s="76">
        <f>60000-3000-21000-3000-3000</f>
        <v>30000</v>
      </c>
      <c r="F52" s="76"/>
      <c r="G52" s="76">
        <f>36000-3000-3000-3000</f>
        <v>27000</v>
      </c>
      <c r="H52" s="76"/>
      <c r="I52" s="76"/>
      <c r="J52" s="76"/>
      <c r="K52" s="76">
        <f>84000-7500-7500-7500</f>
        <v>61500</v>
      </c>
      <c r="L52" s="76"/>
      <c r="M52" s="76"/>
      <c r="N52" s="76"/>
      <c r="O52" s="76"/>
      <c r="P52" s="70"/>
      <c r="Q52" s="76"/>
      <c r="R52" s="70">
        <f>SUM(C52:P52)</f>
        <v>258500</v>
      </c>
    </row>
    <row r="53" spans="1:18" ht="14.25">
      <c r="A53" s="90" t="s">
        <v>284</v>
      </c>
      <c r="B53" s="76"/>
      <c r="C53" s="76">
        <f>65000-2671</f>
        <v>62329</v>
      </c>
      <c r="D53" s="76"/>
      <c r="E53" s="76">
        <f>10000-5000</f>
        <v>5000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67329</v>
      </c>
    </row>
    <row r="54" spans="1:18" ht="15" thickBot="1">
      <c r="A54" s="90" t="s">
        <v>36</v>
      </c>
      <c r="B54" s="93"/>
      <c r="C54" s="80">
        <f>SUM(C50:C53)</f>
        <v>432329</v>
      </c>
      <c r="D54" s="93">
        <v>0</v>
      </c>
      <c r="E54" s="93">
        <f>SUM(E50:E53)</f>
        <v>173780</v>
      </c>
      <c r="F54" s="93">
        <v>0</v>
      </c>
      <c r="G54" s="93">
        <f>SUM(G50:G53)</f>
        <v>112000</v>
      </c>
      <c r="H54" s="93">
        <v>0</v>
      </c>
      <c r="I54" s="93">
        <f>SUM(I50:I53)</f>
        <v>10000</v>
      </c>
      <c r="J54" s="93"/>
      <c r="K54" s="93">
        <f>SUM(K50:K53)</f>
        <v>192700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920809</v>
      </c>
    </row>
    <row r="55" spans="1:18" ht="15" thickTop="1">
      <c r="A55" s="94" t="s">
        <v>286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287</v>
      </c>
      <c r="B56" s="82"/>
      <c r="C56" s="82">
        <f>380000-12952-29679.7-21428</f>
        <v>315940.3</v>
      </c>
      <c r="D56" s="82"/>
      <c r="E56" s="82">
        <f>50000-14600</f>
        <v>35400</v>
      </c>
      <c r="F56" s="82"/>
      <c r="G56" s="82">
        <v>45000</v>
      </c>
      <c r="H56" s="82"/>
      <c r="I56" s="82"/>
      <c r="J56" s="82"/>
      <c r="K56" s="82">
        <f>80000-14000</f>
        <v>66000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462340.3</v>
      </c>
    </row>
    <row r="57" spans="1:18" ht="14.25">
      <c r="A57" s="90" t="s">
        <v>288</v>
      </c>
      <c r="B57" s="76"/>
      <c r="C57" s="76">
        <f>58000-750-18500</f>
        <v>38750</v>
      </c>
      <c r="D57" s="76"/>
      <c r="E57" s="76"/>
      <c r="F57" s="76"/>
      <c r="G57" s="76">
        <v>5000</v>
      </c>
      <c r="H57" s="76"/>
      <c r="I57" s="76"/>
      <c r="J57" s="76"/>
      <c r="K57" s="76"/>
      <c r="L57" s="76"/>
      <c r="M57" s="76"/>
      <c r="N57" s="76"/>
      <c r="O57" s="76"/>
      <c r="P57" s="70"/>
      <c r="Q57" s="76"/>
      <c r="R57" s="70">
        <f>SUM(C57:Q57)</f>
        <v>43750</v>
      </c>
    </row>
    <row r="58" spans="1:18" ht="14.25">
      <c r="A58" s="94" t="s">
        <v>289</v>
      </c>
      <c r="B58" s="76"/>
      <c r="C58" s="76">
        <f>757000-2080</f>
        <v>754920</v>
      </c>
      <c r="D58" s="76">
        <v>20000</v>
      </c>
      <c r="E58" s="76">
        <f>30000-6080</f>
        <v>23920</v>
      </c>
      <c r="F58" s="76">
        <f>240000-5250</f>
        <v>234750</v>
      </c>
      <c r="G58" s="76">
        <f>50000-21924</f>
        <v>28076</v>
      </c>
      <c r="H58" s="76">
        <f>582600-28370.04</f>
        <v>554229.96</v>
      </c>
      <c r="I58" s="76"/>
      <c r="J58" s="76">
        <v>440000</v>
      </c>
      <c r="K58" s="76">
        <f>40000-5376</f>
        <v>34624</v>
      </c>
      <c r="L58" s="76"/>
      <c r="M58" s="76"/>
      <c r="N58" s="76">
        <v>80000</v>
      </c>
      <c r="O58" s="76">
        <v>150000</v>
      </c>
      <c r="P58" s="70">
        <f>210000-5952-167215</f>
        <v>36833</v>
      </c>
      <c r="Q58" s="76"/>
      <c r="R58" s="70">
        <f>SUM(C58:P58)</f>
        <v>2357352.96</v>
      </c>
    </row>
    <row r="59" spans="1:18" ht="14.25">
      <c r="A59" s="94" t="s">
        <v>290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1109610.3</v>
      </c>
      <c r="D60" s="93">
        <f>SUM(D58:D59)</f>
        <v>20000</v>
      </c>
      <c r="E60" s="93">
        <f>SUM(E56:E59)</f>
        <v>59320</v>
      </c>
      <c r="F60" s="93">
        <f>SUM(F58)</f>
        <v>234750</v>
      </c>
      <c r="G60" s="93">
        <f>SUM(G56:G59)</f>
        <v>78076</v>
      </c>
      <c r="H60" s="93">
        <f>SUM(H56:H59)</f>
        <v>554229.96</v>
      </c>
      <c r="I60" s="93">
        <f>SUM(I56:I59)</f>
        <v>0</v>
      </c>
      <c r="J60" s="93">
        <f>SUM(J58)</f>
        <v>440000</v>
      </c>
      <c r="K60" s="93">
        <f>SUM(K56:K59)</f>
        <v>100624</v>
      </c>
      <c r="L60" s="93">
        <f>SUM(L56:L59)</f>
        <v>0</v>
      </c>
      <c r="M60" s="93"/>
      <c r="N60" s="93">
        <f>SUM(N58)</f>
        <v>80000</v>
      </c>
      <c r="O60" s="93">
        <f>SUM(O58)</f>
        <v>150000</v>
      </c>
      <c r="P60" s="93">
        <f>SUM(P56:P59)</f>
        <v>36833</v>
      </c>
      <c r="Q60" s="93"/>
      <c r="R60" s="73">
        <f>SUM(C60:P60)</f>
        <v>2863443.26</v>
      </c>
    </row>
    <row r="61" spans="1:18" ht="15" thickTop="1">
      <c r="A61" s="94" t="s">
        <v>291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292</v>
      </c>
      <c r="B62" s="82"/>
      <c r="C62" s="82"/>
      <c r="D62" s="82"/>
      <c r="E62" s="82">
        <f>100000-35728</f>
        <v>64272</v>
      </c>
      <c r="F62" s="82"/>
      <c r="G62" s="82">
        <v>20000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84272</v>
      </c>
    </row>
    <row r="63" spans="1:18" ht="14.25">
      <c r="A63" s="90" t="s">
        <v>293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294</v>
      </c>
      <c r="B64" s="76"/>
      <c r="C64" s="76"/>
      <c r="D64" s="76"/>
      <c r="E64" s="76">
        <f>20000-300-400</f>
        <v>19300</v>
      </c>
      <c r="F64" s="76"/>
      <c r="G64" s="76">
        <v>20000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39300</v>
      </c>
    </row>
    <row r="65" spans="1:18" ht="14.25">
      <c r="A65" s="94" t="s">
        <v>295</v>
      </c>
      <c r="B65" s="76"/>
      <c r="C65" s="76"/>
      <c r="D65" s="76"/>
      <c r="E65" s="76"/>
      <c r="F65" s="76"/>
      <c r="G65" s="76">
        <v>0</v>
      </c>
      <c r="H65" s="76">
        <f>1084570-77242.62</f>
        <v>1007327.38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1007327.38</v>
      </c>
    </row>
    <row r="66" spans="1:18" ht="14.25">
      <c r="A66" s="94" t="s">
        <v>296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297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298</v>
      </c>
      <c r="B68" s="76"/>
      <c r="C68" s="76">
        <v>30000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30000</v>
      </c>
    </row>
    <row r="69" spans="1:18" ht="14.25">
      <c r="A69" s="94" t="s">
        <v>299</v>
      </c>
      <c r="B69" s="76"/>
      <c r="C69" s="76">
        <f>200000-9305-8860</f>
        <v>181835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181835</v>
      </c>
    </row>
    <row r="70" spans="1:18" ht="14.25">
      <c r="A70" s="94" t="s">
        <v>330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300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331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301</v>
      </c>
      <c r="B73" s="76"/>
      <c r="C73" s="76">
        <f>70000-13600</f>
        <v>56400</v>
      </c>
      <c r="D73" s="76"/>
      <c r="E73" s="76">
        <v>100000</v>
      </c>
      <c r="F73" s="76"/>
      <c r="G73" s="76">
        <v>25000</v>
      </c>
      <c r="H73" s="76"/>
      <c r="I73" s="76"/>
      <c r="J73" s="76"/>
      <c r="K73" s="76">
        <f>30000-7850</f>
        <v>22150</v>
      </c>
      <c r="L73" s="76"/>
      <c r="M73" s="76"/>
      <c r="N73" s="76"/>
      <c r="O73" s="76"/>
      <c r="P73" s="70"/>
      <c r="Q73" s="76"/>
      <c r="R73" s="70">
        <f>SUM(B73:Q73)</f>
        <v>203550</v>
      </c>
    </row>
    <row r="74" spans="1:18" ht="14.25">
      <c r="A74" s="94" t="s">
        <v>302</v>
      </c>
      <c r="B74" s="76"/>
      <c r="C74" s="76"/>
      <c r="D74" s="76"/>
      <c r="E74" s="76"/>
      <c r="F74" s="76"/>
      <c r="G74" s="76"/>
      <c r="H74" s="76">
        <v>30000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30000</v>
      </c>
    </row>
    <row r="75" spans="1:18" ht="14.25">
      <c r="A75" s="94" t="s">
        <v>303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269289</v>
      </c>
      <c r="D76" s="93">
        <v>0</v>
      </c>
      <c r="E76" s="93">
        <f>SUM(E62:E75)</f>
        <v>183572</v>
      </c>
      <c r="F76" s="93">
        <v>0</v>
      </c>
      <c r="G76" s="93">
        <f>SUM(G62:G75)</f>
        <v>65000</v>
      </c>
      <c r="H76" s="93">
        <f>SUM(H62:H75)</f>
        <v>1037327.38</v>
      </c>
      <c r="I76" s="93">
        <f>SUM(I62:I75)</f>
        <v>0</v>
      </c>
      <c r="J76" s="93">
        <v>0</v>
      </c>
      <c r="K76" s="93">
        <f>SUM(K63:K75)</f>
        <v>102150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1657338.38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116</v>
      </c>
      <c r="B82" s="347" t="s">
        <v>93</v>
      </c>
      <c r="C82" s="348" t="s">
        <v>94</v>
      </c>
      <c r="D82" s="348"/>
      <c r="E82" s="348"/>
      <c r="F82" s="87" t="s">
        <v>95</v>
      </c>
      <c r="G82" s="348" t="s">
        <v>96</v>
      </c>
      <c r="H82" s="348"/>
      <c r="I82" s="348" t="s">
        <v>97</v>
      </c>
      <c r="J82" s="348"/>
      <c r="K82" s="348" t="s">
        <v>99</v>
      </c>
      <c r="L82" s="348"/>
      <c r="M82" s="349" t="s">
        <v>397</v>
      </c>
      <c r="N82" s="350"/>
      <c r="O82" s="348" t="s">
        <v>100</v>
      </c>
      <c r="P82" s="348"/>
      <c r="Q82" s="214"/>
      <c r="R82" s="351" t="s">
        <v>19</v>
      </c>
    </row>
    <row r="83" spans="1:18" s="64" customFormat="1" ht="13.5" customHeight="1">
      <c r="A83" s="66" t="s">
        <v>117</v>
      </c>
      <c r="B83" s="347"/>
      <c r="C83" s="87" t="s">
        <v>101</v>
      </c>
      <c r="D83" s="87" t="s">
        <v>112</v>
      </c>
      <c r="E83" s="87" t="s">
        <v>102</v>
      </c>
      <c r="F83" s="87" t="s">
        <v>103</v>
      </c>
      <c r="G83" s="87" t="s">
        <v>104</v>
      </c>
      <c r="H83" s="87" t="s">
        <v>105</v>
      </c>
      <c r="I83" s="87" t="s">
        <v>106</v>
      </c>
      <c r="J83" s="87" t="s">
        <v>107</v>
      </c>
      <c r="K83" s="87" t="s">
        <v>108</v>
      </c>
      <c r="L83" s="87" t="s">
        <v>109</v>
      </c>
      <c r="M83" s="87" t="s">
        <v>477</v>
      </c>
      <c r="N83" s="87" t="s">
        <v>396</v>
      </c>
      <c r="O83" s="87" t="s">
        <v>110</v>
      </c>
      <c r="P83" s="87" t="s">
        <v>111</v>
      </c>
      <c r="Q83" s="192" t="s">
        <v>115</v>
      </c>
      <c r="R83" s="352"/>
    </row>
    <row r="84" spans="1:18" ht="13.5" customHeight="1">
      <c r="A84" s="92" t="s">
        <v>304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305</v>
      </c>
      <c r="B85" s="67"/>
      <c r="C85" s="67">
        <f>150000-12023.06-11297.35-13827.15</f>
        <v>112852.44</v>
      </c>
      <c r="D85" s="67"/>
      <c r="E85" s="67"/>
      <c r="F85" s="67"/>
      <c r="G85" s="67">
        <f>50000-1832-1291.78-1027.31</f>
        <v>45848.91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158701.35</v>
      </c>
    </row>
    <row r="86" spans="1:18" ht="13.5" customHeight="1">
      <c r="A86" s="90" t="s">
        <v>306</v>
      </c>
      <c r="B86" s="70"/>
      <c r="C86" s="70">
        <f>6000-234-438</f>
        <v>5328</v>
      </c>
      <c r="D86" s="70"/>
      <c r="E86" s="70"/>
      <c r="F86" s="70"/>
      <c r="G86" s="70">
        <f>5000-114-294</f>
        <v>4592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9920</v>
      </c>
    </row>
    <row r="87" spans="1:18" ht="13.5" customHeight="1">
      <c r="A87" s="90" t="s">
        <v>307</v>
      </c>
      <c r="B87" s="70"/>
      <c r="C87" s="70">
        <f>20000-1001.52-992.96</f>
        <v>18005.52</v>
      </c>
      <c r="D87" s="70"/>
      <c r="E87" s="70"/>
      <c r="F87" s="70"/>
      <c r="G87" s="70">
        <f>10000-428-428</f>
        <v>9144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27149.52</v>
      </c>
    </row>
    <row r="88" spans="1:18" ht="13.5" customHeight="1">
      <c r="A88" s="89" t="s">
        <v>308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309</v>
      </c>
      <c r="B89" s="71"/>
      <c r="C89" s="71">
        <f>90000-5339.3-5339.3</f>
        <v>79321.4</v>
      </c>
      <c r="D89" s="71"/>
      <c r="E89" s="71"/>
      <c r="F89" s="71"/>
      <c r="G89" s="71">
        <f>25000-1701.3-1701.3</f>
        <v>21597.4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100918.79999999999</v>
      </c>
    </row>
    <row r="90" spans="1:18" ht="13.5" customHeight="1" thickBot="1">
      <c r="A90" s="90" t="s">
        <v>36</v>
      </c>
      <c r="B90" s="61"/>
      <c r="C90" s="61">
        <f>SUM(C85:C89)</f>
        <v>215507.36</v>
      </c>
      <c r="D90" s="61">
        <v>0</v>
      </c>
      <c r="E90" s="61">
        <v>0</v>
      </c>
      <c r="F90" s="61">
        <v>0</v>
      </c>
      <c r="G90" s="61">
        <f>SUM(G85:G89)</f>
        <v>81182.31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296689.67</v>
      </c>
    </row>
    <row r="91" spans="1:18" ht="13.5" customHeight="1" thickTop="1">
      <c r="A91" s="92" t="s">
        <v>310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311</v>
      </c>
      <c r="B92" s="76"/>
      <c r="C92" s="76">
        <v>105600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105600</v>
      </c>
    </row>
    <row r="93" spans="1:18" ht="13.5" customHeight="1">
      <c r="A93" s="90" t="s">
        <v>487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313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315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316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317</v>
      </c>
      <c r="B99" s="76"/>
      <c r="C99" s="76"/>
      <c r="D99" s="76"/>
      <c r="E99" s="76"/>
      <c r="F99" s="76"/>
      <c r="G99" s="76">
        <v>0</v>
      </c>
      <c r="H99" s="76">
        <v>36000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36000</v>
      </c>
    </row>
    <row r="100" spans="1:18" ht="13.5" customHeight="1">
      <c r="A100" s="89" t="s">
        <v>318</v>
      </c>
      <c r="B100" s="77"/>
      <c r="C100" s="77">
        <f>100000-13417.27-1700</f>
        <v>84882.73</v>
      </c>
      <c r="D100" s="77"/>
      <c r="E100" s="77">
        <f>30000-550</f>
        <v>29450</v>
      </c>
      <c r="F100" s="77"/>
      <c r="G100" s="77">
        <f>80000-30000-1900</f>
        <v>48100</v>
      </c>
      <c r="H100" s="151"/>
      <c r="I100" s="77"/>
      <c r="J100" s="77"/>
      <c r="K100" s="77">
        <f>20000-1500-2300-1920</f>
        <v>14280</v>
      </c>
      <c r="L100" s="77"/>
      <c r="M100" s="77"/>
      <c r="N100" s="77"/>
      <c r="O100" s="77"/>
      <c r="P100" s="67"/>
      <c r="Q100" s="77"/>
      <c r="R100" s="199">
        <f t="shared" si="2"/>
        <v>176712.72999999998</v>
      </c>
    </row>
    <row r="101" spans="1:18" ht="13.5" customHeight="1" thickBot="1">
      <c r="A101" s="90" t="s">
        <v>36</v>
      </c>
      <c r="B101" s="93"/>
      <c r="C101" s="93">
        <f>SUM(C92:C100)</f>
        <v>977482.73</v>
      </c>
      <c r="D101" s="93">
        <v>0</v>
      </c>
      <c r="E101" s="93">
        <f>SUM(E100)</f>
        <v>29450</v>
      </c>
      <c r="F101" s="93">
        <v>0</v>
      </c>
      <c r="G101" s="93">
        <f>SUM(G92:G100)</f>
        <v>48100</v>
      </c>
      <c r="H101" s="93">
        <f>SUM(H92:H100)</f>
        <v>36000</v>
      </c>
      <c r="I101" s="93">
        <f>SUM(I100)</f>
        <v>0</v>
      </c>
      <c r="J101" s="93"/>
      <c r="K101" s="93">
        <f>SUM(K92:K100)</f>
        <v>14280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1105312.73</v>
      </c>
    </row>
    <row r="102" spans="1:18" ht="13.5" customHeight="1" thickTop="1">
      <c r="A102" s="94" t="s">
        <v>319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320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321</v>
      </c>
      <c r="B104" s="82"/>
      <c r="C104" s="82">
        <v>166000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338000</v>
      </c>
    </row>
    <row r="105" spans="1:18" ht="13.5" customHeight="1">
      <c r="A105" s="94" t="s">
        <v>322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v>2590000</v>
      </c>
      <c r="R105" s="83">
        <f>SUM(Q105)</f>
        <v>2590000</v>
      </c>
    </row>
    <row r="106" spans="1:18" ht="13.5" customHeight="1">
      <c r="A106" s="90" t="s">
        <v>394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166000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2590000</v>
      </c>
      <c r="R107" s="200">
        <f>SUM(R103:R106)</f>
        <v>2928000</v>
      </c>
    </row>
    <row r="108" spans="1:18" ht="13.5" customHeight="1" thickTop="1">
      <c r="A108" s="94" t="s">
        <v>323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324</v>
      </c>
      <c r="B109" s="70"/>
      <c r="C109" s="76">
        <v>10000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10000</v>
      </c>
    </row>
    <row r="110" spans="1:18" ht="13.5" customHeight="1">
      <c r="A110" s="94" t="s">
        <v>325</v>
      </c>
      <c r="B110" s="77"/>
      <c r="C110" s="76">
        <v>13000</v>
      </c>
      <c r="D110" s="76"/>
      <c r="E110" s="76"/>
      <c r="F110" s="76"/>
      <c r="G110" s="76">
        <f>1872000-384580</f>
        <v>1487420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1800420</v>
      </c>
    </row>
    <row r="111" spans="1:18" ht="13.5" customHeight="1">
      <c r="A111" s="94" t="s">
        <v>395</v>
      </c>
      <c r="B111" s="77"/>
      <c r="C111" s="76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SUM(I111)</f>
        <v>90000</v>
      </c>
    </row>
    <row r="112" spans="1:18" ht="13.5" customHeight="1">
      <c r="A112" s="90" t="s">
        <v>326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23000</v>
      </c>
      <c r="D113" s="93">
        <v>0</v>
      </c>
      <c r="E113" s="93">
        <v>0</v>
      </c>
      <c r="F113" s="93">
        <v>0</v>
      </c>
      <c r="G113" s="93">
        <f>SUM(G110)</f>
        <v>1487420</v>
      </c>
      <c r="H113" s="93">
        <f>SUM(H110)</f>
        <v>0</v>
      </c>
      <c r="I113" s="93">
        <f>SUM(I111:I112)</f>
        <v>90000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1920420</v>
      </c>
    </row>
    <row r="114" spans="1:18" ht="13.5" customHeight="1" thickTop="1">
      <c r="A114" s="94" t="s">
        <v>327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328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480890</v>
      </c>
      <c r="C117" s="194">
        <f>SUM(C14+C22+C27+C31+C48+C54+C60+C76+C90+C101+C107+C113)</f>
        <v>7588788.390000001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1757537</v>
      </c>
      <c r="F117" s="194">
        <f t="shared" si="3"/>
        <v>234750</v>
      </c>
      <c r="G117" s="194">
        <f t="shared" si="3"/>
        <v>2504558.31</v>
      </c>
      <c r="H117" s="194">
        <f t="shared" si="3"/>
        <v>1799557.3399999999</v>
      </c>
      <c r="I117" s="194">
        <f t="shared" si="3"/>
        <v>426100</v>
      </c>
      <c r="J117" s="194">
        <f t="shared" si="3"/>
        <v>440000</v>
      </c>
      <c r="K117" s="194">
        <f t="shared" si="3"/>
        <v>1524344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150000</v>
      </c>
      <c r="P117" s="194">
        <f>SUM(P14+P22+P27+P31+P48+P54+P60+P76+P90+P101+P107+P113)</f>
        <v>56833</v>
      </c>
      <c r="Q117" s="194">
        <f>SUM(Q14+Q22+Q27+Q31+Q48+Q54+Q60+Q76+Q90+Q101+Q107+Q113)</f>
        <v>2590000</v>
      </c>
      <c r="R117" s="193">
        <f>SUM(B117:Q117)</f>
        <v>19653358.04</v>
      </c>
    </row>
    <row r="118" ht="15" thickTop="1"/>
  </sheetData>
  <sheetProtection/>
  <mergeCells count="27"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  <mergeCell ref="R82:R83"/>
    <mergeCell ref="B43:B44"/>
    <mergeCell ref="C43:E43"/>
    <mergeCell ref="G43:H43"/>
    <mergeCell ref="I43:J43"/>
    <mergeCell ref="K43:L43"/>
    <mergeCell ref="O43:P43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29">
      <selection activeCell="Q15" sqref="Q15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5" t="s">
        <v>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16.5">
      <c r="A2" s="345" t="s">
        <v>412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6.5">
      <c r="A3" s="345" t="s">
        <v>413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6.5">
      <c r="A4" s="346" t="s">
        <v>574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="123" customFormat="1" ht="14.25">
      <c r="Q5" s="191"/>
    </row>
    <row r="6" spans="1:18" s="64" customFormat="1" ht="14.25">
      <c r="A6" s="65" t="s">
        <v>116</v>
      </c>
      <c r="B6" s="347" t="s">
        <v>93</v>
      </c>
      <c r="C6" s="348" t="s">
        <v>94</v>
      </c>
      <c r="D6" s="348"/>
      <c r="E6" s="348"/>
      <c r="F6" s="87" t="s">
        <v>95</v>
      </c>
      <c r="G6" s="348" t="s">
        <v>96</v>
      </c>
      <c r="H6" s="348"/>
      <c r="I6" s="348" t="s">
        <v>97</v>
      </c>
      <c r="J6" s="348"/>
      <c r="K6" s="87" t="s">
        <v>98</v>
      </c>
      <c r="L6" s="348" t="s">
        <v>99</v>
      </c>
      <c r="M6" s="348"/>
      <c r="N6" s="348" t="s">
        <v>100</v>
      </c>
      <c r="O6" s="348"/>
      <c r="P6" s="349" t="s">
        <v>114</v>
      </c>
      <c r="Q6" s="350"/>
      <c r="R6" s="351" t="s">
        <v>19</v>
      </c>
    </row>
    <row r="7" spans="1:18" s="64" customFormat="1" ht="14.25">
      <c r="A7" s="66" t="s">
        <v>117</v>
      </c>
      <c r="B7" s="347"/>
      <c r="C7" s="87" t="s">
        <v>101</v>
      </c>
      <c r="D7" s="87" t="s">
        <v>112</v>
      </c>
      <c r="E7" s="87" t="s">
        <v>102</v>
      </c>
      <c r="F7" s="87" t="s">
        <v>103</v>
      </c>
      <c r="G7" s="87" t="s">
        <v>104</v>
      </c>
      <c r="H7" s="87" t="s">
        <v>105</v>
      </c>
      <c r="I7" s="87" t="s">
        <v>106</v>
      </c>
      <c r="J7" s="87" t="s">
        <v>107</v>
      </c>
      <c r="K7" s="87" t="s">
        <v>113</v>
      </c>
      <c r="L7" s="87" t="s">
        <v>108</v>
      </c>
      <c r="M7" s="87" t="s">
        <v>109</v>
      </c>
      <c r="N7" s="87" t="s">
        <v>110</v>
      </c>
      <c r="O7" s="87" t="s">
        <v>111</v>
      </c>
      <c r="P7" s="87" t="s">
        <v>329</v>
      </c>
      <c r="Q7" s="192" t="s">
        <v>115</v>
      </c>
      <c r="R7" s="352"/>
    </row>
    <row r="8" spans="1:18" ht="14.25">
      <c r="A8" s="88" t="s">
        <v>259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260</v>
      </c>
      <c r="B9" s="67">
        <v>0</v>
      </c>
      <c r="C9" s="67"/>
      <c r="D9" s="67"/>
      <c r="E9" s="67" t="s">
        <v>257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261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262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516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0</v>
      </c>
    </row>
    <row r="17" spans="1:18" ht="15" thickTop="1">
      <c r="A17" s="92" t="s">
        <v>265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266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267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268</v>
      </c>
      <c r="B20" s="76"/>
      <c r="C20" s="76">
        <v>0</v>
      </c>
      <c r="D20" s="76"/>
      <c r="E20" s="76">
        <v>0</v>
      </c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269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270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271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272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273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0</v>
      </c>
    </row>
    <row r="28" spans="1:18" ht="14.25">
      <c r="A28" s="90" t="s">
        <v>274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275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257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SUM(G29)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0</v>
      </c>
    </row>
    <row r="31" spans="1:18" ht="15" thickBot="1">
      <c r="A31" s="91" t="s">
        <v>37</v>
      </c>
      <c r="B31" s="93"/>
      <c r="C31" s="80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93">
        <v>0</v>
      </c>
    </row>
    <row r="32" spans="1:18" ht="15" thickTop="1">
      <c r="A32" s="89" t="s">
        <v>272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276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277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0</v>
      </c>
    </row>
    <row r="37" ht="15" thickTop="1">
      <c r="C37" s="183"/>
    </row>
    <row r="41" spans="1:18" s="64" customFormat="1" ht="14.25">
      <c r="A41" s="65" t="s">
        <v>116</v>
      </c>
      <c r="B41" s="347" t="s">
        <v>93</v>
      </c>
      <c r="C41" s="348" t="s">
        <v>94</v>
      </c>
      <c r="D41" s="348"/>
      <c r="E41" s="348"/>
      <c r="F41" s="87" t="s">
        <v>95</v>
      </c>
      <c r="G41" s="348" t="s">
        <v>96</v>
      </c>
      <c r="H41" s="348"/>
      <c r="I41" s="348" t="s">
        <v>97</v>
      </c>
      <c r="J41" s="348"/>
      <c r="K41" s="87" t="s">
        <v>98</v>
      </c>
      <c r="L41" s="348" t="s">
        <v>99</v>
      </c>
      <c r="M41" s="348"/>
      <c r="N41" s="348" t="s">
        <v>100</v>
      </c>
      <c r="O41" s="348"/>
      <c r="P41" s="349" t="s">
        <v>114</v>
      </c>
      <c r="Q41" s="350"/>
      <c r="R41" s="351" t="s">
        <v>19</v>
      </c>
    </row>
    <row r="42" spans="1:18" s="64" customFormat="1" ht="14.25">
      <c r="A42" s="66" t="s">
        <v>117</v>
      </c>
      <c r="B42" s="347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329</v>
      </c>
      <c r="Q42" s="192" t="s">
        <v>115</v>
      </c>
      <c r="R42" s="352"/>
    </row>
    <row r="43" spans="1:18" ht="14.25">
      <c r="A43" s="92" t="s">
        <v>272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278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279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280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281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282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257</v>
      </c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283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284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f>SUM(E53:E54)</f>
        <v>0</v>
      </c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287</v>
      </c>
      <c r="B57" s="215" t="s">
        <v>400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288</v>
      </c>
      <c r="B58" s="76"/>
      <c r="C58" s="76">
        <v>0</v>
      </c>
      <c r="D58" s="76"/>
      <c r="E58" s="76" t="s">
        <v>411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289</v>
      </c>
      <c r="B59" s="76"/>
      <c r="C59" s="76">
        <f>-30000+30000</f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290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292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294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295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297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299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300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301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302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47" t="s">
        <v>93</v>
      </c>
      <c r="C81" s="348" t="s">
        <v>94</v>
      </c>
      <c r="D81" s="348"/>
      <c r="E81" s="348"/>
      <c r="F81" s="87" t="s">
        <v>95</v>
      </c>
      <c r="G81" s="348" t="s">
        <v>96</v>
      </c>
      <c r="H81" s="348"/>
      <c r="I81" s="348" t="s">
        <v>97</v>
      </c>
      <c r="J81" s="348"/>
      <c r="K81" s="87" t="s">
        <v>98</v>
      </c>
      <c r="L81" s="348" t="s">
        <v>99</v>
      </c>
      <c r="M81" s="348"/>
      <c r="N81" s="348" t="s">
        <v>100</v>
      </c>
      <c r="O81" s="348"/>
      <c r="P81" s="349" t="s">
        <v>114</v>
      </c>
      <c r="Q81" s="350"/>
      <c r="R81" s="351" t="s">
        <v>19</v>
      </c>
    </row>
    <row r="82" spans="1:18" s="64" customFormat="1" ht="13.5" customHeight="1">
      <c r="A82" s="66" t="s">
        <v>117</v>
      </c>
      <c r="B82" s="347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329</v>
      </c>
      <c r="Q82" s="192" t="s">
        <v>115</v>
      </c>
      <c r="R82" s="352"/>
    </row>
    <row r="83" spans="1:18" ht="13.5" customHeight="1">
      <c r="A83" s="92" t="s">
        <v>304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305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306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307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308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309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310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311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312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316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317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318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320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321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322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323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324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325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326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327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328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0</v>
      </c>
      <c r="D118" s="150">
        <f>SUM(D61)</f>
        <v>0</v>
      </c>
      <c r="E118" s="150">
        <f>SUM(E24+E30+E35+E46+E54+E61+E76+E89+E100+E106+E112)</f>
        <v>0</v>
      </c>
      <c r="F118" s="150">
        <f>SUM(F61)</f>
        <v>0</v>
      </c>
      <c r="G118" s="150">
        <f>SUM(G30+G46+G54+G61+G76+G89+G100+G106+G112)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A4:R4"/>
    <mergeCell ref="G6:H6"/>
    <mergeCell ref="P41:Q41"/>
    <mergeCell ref="B41:B42"/>
    <mergeCell ref="C41:E41"/>
    <mergeCell ref="I41:J41"/>
    <mergeCell ref="L41:M41"/>
    <mergeCell ref="G41:H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H109" sqref="H109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5" t="s">
        <v>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16.5">
      <c r="A2" s="345" t="s">
        <v>414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6.5">
      <c r="A3" s="346" t="s">
        <v>574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="123" customFormat="1" ht="14.25">
      <c r="Q4" s="191"/>
    </row>
    <row r="5" spans="1:18" s="64" customFormat="1" ht="14.25">
      <c r="A5" s="65" t="s">
        <v>116</v>
      </c>
      <c r="B5" s="347" t="s">
        <v>93</v>
      </c>
      <c r="C5" s="348" t="s">
        <v>94</v>
      </c>
      <c r="D5" s="348"/>
      <c r="E5" s="348"/>
      <c r="F5" s="87" t="s">
        <v>95</v>
      </c>
      <c r="G5" s="348" t="s">
        <v>96</v>
      </c>
      <c r="H5" s="348"/>
      <c r="I5" s="348" t="s">
        <v>97</v>
      </c>
      <c r="J5" s="348"/>
      <c r="K5" s="87" t="s">
        <v>98</v>
      </c>
      <c r="L5" s="348" t="s">
        <v>99</v>
      </c>
      <c r="M5" s="348"/>
      <c r="N5" s="348" t="s">
        <v>100</v>
      </c>
      <c r="O5" s="348"/>
      <c r="P5" s="349" t="s">
        <v>114</v>
      </c>
      <c r="Q5" s="350"/>
      <c r="R5" s="351" t="s">
        <v>19</v>
      </c>
    </row>
    <row r="6" spans="1:18" s="64" customFormat="1" ht="14.25">
      <c r="A6" s="66" t="s">
        <v>117</v>
      </c>
      <c r="B6" s="347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113</v>
      </c>
      <c r="L6" s="87" t="s">
        <v>108</v>
      </c>
      <c r="M6" s="87" t="s">
        <v>109</v>
      </c>
      <c r="N6" s="87" t="s">
        <v>110</v>
      </c>
      <c r="O6" s="87" t="s">
        <v>111</v>
      </c>
      <c r="P6" s="87" t="s">
        <v>329</v>
      </c>
      <c r="Q6" s="192" t="s">
        <v>115</v>
      </c>
      <c r="R6" s="352"/>
    </row>
    <row r="7" spans="1:18" ht="14.25">
      <c r="A7" s="88" t="s">
        <v>259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260</v>
      </c>
      <c r="B8" s="67">
        <v>0</v>
      </c>
      <c r="C8" s="67"/>
      <c r="D8" s="67"/>
      <c r="E8" s="67" t="s">
        <v>257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261</v>
      </c>
      <c r="B9" s="70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262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263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264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265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266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267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268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269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270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271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273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275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272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276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277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47" t="s">
        <v>93</v>
      </c>
      <c r="C41" s="348" t="s">
        <v>94</v>
      </c>
      <c r="D41" s="348"/>
      <c r="E41" s="348"/>
      <c r="F41" s="87" t="s">
        <v>95</v>
      </c>
      <c r="G41" s="348" t="s">
        <v>96</v>
      </c>
      <c r="H41" s="348"/>
      <c r="I41" s="348" t="s">
        <v>97</v>
      </c>
      <c r="J41" s="348"/>
      <c r="K41" s="87" t="s">
        <v>98</v>
      </c>
      <c r="L41" s="348" t="s">
        <v>99</v>
      </c>
      <c r="M41" s="348"/>
      <c r="N41" s="348" t="s">
        <v>100</v>
      </c>
      <c r="O41" s="348"/>
      <c r="P41" s="349" t="s">
        <v>114</v>
      </c>
      <c r="Q41" s="350"/>
      <c r="R41" s="351" t="s">
        <v>19</v>
      </c>
    </row>
    <row r="42" spans="1:18" s="64" customFormat="1" ht="14.25">
      <c r="A42" s="66" t="s">
        <v>117</v>
      </c>
      <c r="B42" s="347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329</v>
      </c>
      <c r="Q42" s="192" t="s">
        <v>115</v>
      </c>
      <c r="R42" s="352"/>
    </row>
    <row r="43" spans="1:18" ht="14.25">
      <c r="A43" s="92" t="s">
        <v>272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278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279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280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281</v>
      </c>
      <c r="B49" s="76"/>
      <c r="C49" s="76">
        <v>0</v>
      </c>
      <c r="D49" s="76"/>
      <c r="E49" s="76"/>
      <c r="F49" s="76"/>
      <c r="G49" s="76"/>
      <c r="H49" s="76"/>
      <c r="I49" s="76" t="s">
        <v>257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282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283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284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455</v>
      </c>
      <c r="M56" s="82"/>
      <c r="N56" s="83"/>
      <c r="O56" s="84"/>
      <c r="P56" s="83"/>
      <c r="Q56" s="83"/>
      <c r="R56" s="84"/>
    </row>
    <row r="57" spans="1:18" ht="14.25">
      <c r="A57" s="94" t="s">
        <v>287</v>
      </c>
      <c r="B57" s="215" t="s">
        <v>400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288</v>
      </c>
      <c r="B58" s="76"/>
      <c r="C58" s="76">
        <v>0</v>
      </c>
      <c r="D58" s="76"/>
      <c r="E58" s="76" t="s">
        <v>411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289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290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292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294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295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297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299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300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301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302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47" t="s">
        <v>93</v>
      </c>
      <c r="C81" s="348" t="s">
        <v>94</v>
      </c>
      <c r="D81" s="348"/>
      <c r="E81" s="348"/>
      <c r="F81" s="87" t="s">
        <v>95</v>
      </c>
      <c r="G81" s="348" t="s">
        <v>96</v>
      </c>
      <c r="H81" s="348"/>
      <c r="I81" s="348" t="s">
        <v>97</v>
      </c>
      <c r="J81" s="348"/>
      <c r="K81" s="87" t="s">
        <v>98</v>
      </c>
      <c r="L81" s="348" t="s">
        <v>99</v>
      </c>
      <c r="M81" s="348"/>
      <c r="N81" s="348" t="s">
        <v>100</v>
      </c>
      <c r="O81" s="348"/>
      <c r="P81" s="349" t="s">
        <v>114</v>
      </c>
      <c r="Q81" s="350"/>
      <c r="R81" s="351" t="s">
        <v>19</v>
      </c>
    </row>
    <row r="82" spans="1:18" s="64" customFormat="1" ht="13.5" customHeight="1">
      <c r="A82" s="66" t="s">
        <v>117</v>
      </c>
      <c r="B82" s="347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329</v>
      </c>
      <c r="Q82" s="192" t="s">
        <v>115</v>
      </c>
      <c r="R82" s="352"/>
    </row>
    <row r="83" spans="1:18" ht="13.5" customHeight="1">
      <c r="A83" s="92" t="s">
        <v>304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305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306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307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308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309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310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311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312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316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317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318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320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321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322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f>964000</f>
        <v>964000</v>
      </c>
      <c r="R105" s="70">
        <f>SUM(Q105)</f>
        <v>964000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964000</v>
      </c>
      <c r="R106" s="61">
        <f>SUM(D106:Q106)</f>
        <v>964000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</f>
        <v>964000</v>
      </c>
      <c r="R107" s="73">
        <f>SUM(Q107)</f>
        <v>964000</v>
      </c>
    </row>
    <row r="108" spans="1:18" ht="13.5" customHeight="1" thickTop="1">
      <c r="A108" s="94" t="s">
        <v>323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324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325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326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327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328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964000</v>
      </c>
      <c r="R118" s="72">
        <f>SUM(B118:Q118)</f>
        <v>964000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</f>
        <v>964000</v>
      </c>
      <c r="R119" s="73">
        <f>SUM(B119:Q119)</f>
        <v>964000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5" t="s">
        <v>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16.5">
      <c r="A2" s="345" t="s">
        <v>416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6.5">
      <c r="A3" s="346" t="s">
        <v>574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="123" customFormat="1" ht="14.25">
      <c r="Q4" s="191"/>
    </row>
    <row r="5" spans="1:18" s="64" customFormat="1" ht="14.25">
      <c r="A5" s="65" t="s">
        <v>116</v>
      </c>
      <c r="B5" s="347" t="s">
        <v>93</v>
      </c>
      <c r="C5" s="348" t="s">
        <v>94</v>
      </c>
      <c r="D5" s="348"/>
      <c r="E5" s="348"/>
      <c r="F5" s="87" t="s">
        <v>95</v>
      </c>
      <c r="G5" s="348" t="s">
        <v>96</v>
      </c>
      <c r="H5" s="348"/>
      <c r="I5" s="348" t="s">
        <v>97</v>
      </c>
      <c r="J5" s="348"/>
      <c r="K5" s="348" t="s">
        <v>99</v>
      </c>
      <c r="L5" s="348"/>
      <c r="M5" s="349" t="s">
        <v>397</v>
      </c>
      <c r="N5" s="350"/>
      <c r="O5" s="348" t="s">
        <v>100</v>
      </c>
      <c r="P5" s="348"/>
      <c r="Q5" s="281" t="s">
        <v>114</v>
      </c>
      <c r="R5" s="351" t="s">
        <v>19</v>
      </c>
    </row>
    <row r="6" spans="1:18" s="64" customFormat="1" ht="14.25">
      <c r="A6" s="66" t="s">
        <v>117</v>
      </c>
      <c r="B6" s="347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477</v>
      </c>
      <c r="N6" s="87" t="s">
        <v>396</v>
      </c>
      <c r="O6" s="87" t="s">
        <v>110</v>
      </c>
      <c r="P6" s="87" t="s">
        <v>111</v>
      </c>
      <c r="Q6" s="192" t="s">
        <v>115</v>
      </c>
      <c r="R6" s="352"/>
    </row>
    <row r="7" spans="1:18" ht="14.25">
      <c r="A7" s="88" t="s">
        <v>259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260</v>
      </c>
      <c r="B8" s="67">
        <v>5752</v>
      </c>
      <c r="C8" s="67"/>
      <c r="D8" s="67"/>
      <c r="E8" s="67" t="s">
        <v>257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5752</v>
      </c>
    </row>
    <row r="9" spans="1:18" ht="14.25">
      <c r="A9" s="90" t="s">
        <v>261</v>
      </c>
      <c r="B9" s="70">
        <f>500+1500</f>
        <v>2000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262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263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264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7752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7752</v>
      </c>
    </row>
    <row r="14" spans="1:18" ht="15" thickBot="1">
      <c r="A14" s="91" t="s">
        <v>37</v>
      </c>
      <c r="B14" s="73">
        <f>54652+155486+7752</f>
        <v>217890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217890</v>
      </c>
    </row>
    <row r="15" spans="1:18" ht="15" thickTop="1">
      <c r="A15" s="92" t="s">
        <v>265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456</v>
      </c>
    </row>
    <row r="16" spans="1:18" ht="14.25">
      <c r="A16" s="90" t="s">
        <v>266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267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268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269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270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271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</f>
        <v>707580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707580</v>
      </c>
    </row>
    <row r="24" spans="1:18" ht="15" thickTop="1">
      <c r="A24" s="89" t="s">
        <v>272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273</v>
      </c>
      <c r="B25" s="76"/>
      <c r="C25" s="76">
        <v>169270</v>
      </c>
      <c r="D25" s="76"/>
      <c r="E25" s="76">
        <v>87010</v>
      </c>
      <c r="F25" s="76"/>
      <c r="G25" s="76">
        <v>21620</v>
      </c>
      <c r="H25" s="76"/>
      <c r="I25" s="76"/>
      <c r="J25" s="76"/>
      <c r="K25" s="76">
        <v>54890</v>
      </c>
      <c r="L25" s="76"/>
      <c r="M25" s="76"/>
      <c r="N25" s="76"/>
      <c r="O25" s="76"/>
      <c r="P25" s="70"/>
      <c r="Q25" s="76"/>
      <c r="R25" s="70">
        <f>SUM(C25:Q25)</f>
        <v>332790</v>
      </c>
    </row>
    <row r="26" spans="1:18" ht="14.25">
      <c r="A26" s="90" t="s">
        <v>274</v>
      </c>
      <c r="B26" s="76"/>
      <c r="C26" s="76">
        <v>0</v>
      </c>
      <c r="D26" s="76"/>
      <c r="E26" s="76"/>
      <c r="F26" s="76"/>
      <c r="G26" s="76">
        <v>0</v>
      </c>
      <c r="H26" s="76"/>
      <c r="I26" s="76"/>
      <c r="J26" s="76"/>
      <c r="K26" s="76">
        <v>2000</v>
      </c>
      <c r="L26" s="76"/>
      <c r="M26" s="76"/>
      <c r="N26" s="76"/>
      <c r="O26" s="76"/>
      <c r="P26" s="70"/>
      <c r="Q26" s="76"/>
      <c r="R26" s="70">
        <f>SUM(C26:P26)</f>
        <v>2000</v>
      </c>
    </row>
    <row r="27" spans="1:18" ht="14.25">
      <c r="A27" s="89" t="s">
        <v>275</v>
      </c>
      <c r="B27" s="77"/>
      <c r="C27" s="77">
        <v>14700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25200</v>
      </c>
    </row>
    <row r="28" spans="1:18" ht="14.25">
      <c r="A28" s="90" t="s">
        <v>36</v>
      </c>
      <c r="B28" s="61"/>
      <c r="C28" s="79">
        <f>SUM(C25:C27)</f>
        <v>183970</v>
      </c>
      <c r="D28" s="61">
        <v>0</v>
      </c>
      <c r="E28" s="61">
        <f>SUM(E25:E27)</f>
        <v>90510</v>
      </c>
      <c r="F28" s="61">
        <v>0</v>
      </c>
      <c r="G28" s="61">
        <f>SUM(G25:G27)</f>
        <v>25120</v>
      </c>
      <c r="H28" s="61">
        <v>0</v>
      </c>
      <c r="I28" s="61">
        <v>0</v>
      </c>
      <c r="J28" s="61">
        <v>0</v>
      </c>
      <c r="K28" s="61">
        <f>SUM(K25:K27)</f>
        <v>60390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359990</v>
      </c>
    </row>
    <row r="29" spans="1:18" ht="15" thickBot="1">
      <c r="A29" s="91" t="s">
        <v>37</v>
      </c>
      <c r="B29" s="93"/>
      <c r="C29" s="80">
        <f>185100+183970+183970</f>
        <v>553040</v>
      </c>
      <c r="D29" s="93">
        <v>0</v>
      </c>
      <c r="E29" s="93">
        <f>90510+90510+90510</f>
        <v>271530</v>
      </c>
      <c r="F29" s="93">
        <v>0</v>
      </c>
      <c r="G29" s="93">
        <f>25120+25120+25120</f>
        <v>75360</v>
      </c>
      <c r="H29" s="93">
        <v>0</v>
      </c>
      <c r="I29" s="93">
        <v>0</v>
      </c>
      <c r="J29" s="93">
        <v>0</v>
      </c>
      <c r="K29" s="93">
        <f>60390+60390+60390</f>
        <v>181170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1081100</v>
      </c>
    </row>
    <row r="30" spans="1:18" ht="15" thickTop="1">
      <c r="A30" s="89" t="s">
        <v>272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276</v>
      </c>
      <c r="B31" s="76"/>
      <c r="C31" s="76">
        <v>12810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12810</v>
      </c>
    </row>
    <row r="32" spans="1:18" ht="14.25">
      <c r="A32" s="89" t="s">
        <v>277</v>
      </c>
      <c r="B32" s="78"/>
      <c r="C32" s="77">
        <v>475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475</v>
      </c>
    </row>
    <row r="33" spans="1:18" ht="14.25">
      <c r="A33" s="90" t="s">
        <v>36</v>
      </c>
      <c r="B33" s="61"/>
      <c r="C33" s="79">
        <f>SUM(C31:C32)</f>
        <v>13285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13285</v>
      </c>
    </row>
    <row r="34" spans="1:18" ht="15" thickBot="1">
      <c r="A34" s="91" t="s">
        <v>37</v>
      </c>
      <c r="B34" s="93"/>
      <c r="C34" s="73">
        <f>13285+13285+13285</f>
        <v>39855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39855</v>
      </c>
    </row>
    <row r="35" ht="15" thickTop="1">
      <c r="C35" s="183"/>
    </row>
    <row r="41" spans="1:18" s="64" customFormat="1" ht="14.25">
      <c r="A41" s="65" t="s">
        <v>116</v>
      </c>
      <c r="B41" s="347" t="s">
        <v>93</v>
      </c>
      <c r="C41" s="348" t="s">
        <v>94</v>
      </c>
      <c r="D41" s="348"/>
      <c r="E41" s="348"/>
      <c r="F41" s="87" t="s">
        <v>95</v>
      </c>
      <c r="G41" s="348" t="s">
        <v>96</v>
      </c>
      <c r="H41" s="348"/>
      <c r="I41" s="348" t="s">
        <v>97</v>
      </c>
      <c r="J41" s="348"/>
      <c r="K41" s="348" t="s">
        <v>99</v>
      </c>
      <c r="L41" s="348"/>
      <c r="M41" s="349" t="s">
        <v>397</v>
      </c>
      <c r="N41" s="350"/>
      <c r="O41" s="348" t="s">
        <v>100</v>
      </c>
      <c r="P41" s="348"/>
      <c r="Q41" s="280" t="s">
        <v>114</v>
      </c>
      <c r="R41" s="351" t="s">
        <v>19</v>
      </c>
    </row>
    <row r="42" spans="1:18" s="64" customFormat="1" ht="14.25">
      <c r="A42" s="66" t="s">
        <v>117</v>
      </c>
      <c r="B42" s="347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477</v>
      </c>
      <c r="N42" s="87" t="s">
        <v>396</v>
      </c>
      <c r="O42" s="87" t="s">
        <v>110</v>
      </c>
      <c r="P42" s="87" t="s">
        <v>111</v>
      </c>
      <c r="Q42" s="192" t="s">
        <v>115</v>
      </c>
      <c r="R42" s="352"/>
    </row>
    <row r="43" spans="1:18" ht="14.25">
      <c r="A43" s="92" t="s">
        <v>272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278</v>
      </c>
      <c r="B44" s="70"/>
      <c r="C44" s="70">
        <v>29760</v>
      </c>
      <c r="D44" s="70"/>
      <c r="E44" s="70">
        <v>21150</v>
      </c>
      <c r="F44" s="70"/>
      <c r="G44" s="70">
        <v>26620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105610</v>
      </c>
    </row>
    <row r="45" spans="1:18" ht="14.25">
      <c r="A45" s="94" t="s">
        <v>279</v>
      </c>
      <c r="B45" s="67"/>
      <c r="C45" s="67">
        <v>4925</v>
      </c>
      <c r="D45" s="67"/>
      <c r="E45" s="67">
        <v>2135</v>
      </c>
      <c r="F45" s="67"/>
      <c r="G45" s="67">
        <v>1000</v>
      </c>
      <c r="H45" s="67"/>
      <c r="I45" s="67">
        <v>1000</v>
      </c>
      <c r="J45" s="67"/>
      <c r="K45" s="67">
        <v>3000</v>
      </c>
      <c r="L45" s="67"/>
      <c r="M45" s="67"/>
      <c r="N45" s="67" t="s">
        <v>257</v>
      </c>
      <c r="O45" s="67"/>
      <c r="P45" s="67"/>
      <c r="Q45" s="67"/>
      <c r="R45" s="67">
        <f>SUM(C45:P45)</f>
        <v>12060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27620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117670</v>
      </c>
    </row>
    <row r="47" spans="1:18" ht="15" thickBot="1">
      <c r="A47" s="91" t="s">
        <v>37</v>
      </c>
      <c r="B47" s="93"/>
      <c r="C47" s="73">
        <f>34685+34685+34685</f>
        <v>104055</v>
      </c>
      <c r="D47" s="61">
        <v>0</v>
      </c>
      <c r="E47" s="61">
        <f>23285+23285+23285</f>
        <v>69855</v>
      </c>
      <c r="F47" s="61">
        <v>0</v>
      </c>
      <c r="G47" s="61">
        <f>27620+27620+27620</f>
        <v>82860</v>
      </c>
      <c r="H47" s="61">
        <v>0</v>
      </c>
      <c r="I47" s="61">
        <f>10000+10000+10000</f>
        <v>30000</v>
      </c>
      <c r="J47" s="61">
        <v>0</v>
      </c>
      <c r="K47" s="61">
        <f>22080+22080+22080</f>
        <v>66240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353010</v>
      </c>
    </row>
    <row r="48" spans="1:18" ht="15" thickTop="1">
      <c r="A48" s="92" t="s">
        <v>280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281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282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283</v>
      </c>
      <c r="B51" s="76"/>
      <c r="C51" s="76">
        <v>10000</v>
      </c>
      <c r="D51" s="76"/>
      <c r="E51" s="76">
        <v>3000</v>
      </c>
      <c r="F51" s="76"/>
      <c r="G51" s="76">
        <v>3000</v>
      </c>
      <c r="H51" s="76">
        <v>0</v>
      </c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284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10000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7500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23500</v>
      </c>
    </row>
    <row r="55" spans="1:18" ht="15" thickBot="1">
      <c r="A55" s="91" t="s">
        <v>37</v>
      </c>
      <c r="B55" s="93"/>
      <c r="C55" s="80">
        <f>10000+12671+10000</f>
        <v>32671</v>
      </c>
      <c r="D55" s="93">
        <v>0</v>
      </c>
      <c r="E55" s="93">
        <f>12660+10560+3000</f>
        <v>26220</v>
      </c>
      <c r="F55" s="93">
        <v>0</v>
      </c>
      <c r="G55" s="93">
        <f>3000+3000+3000</f>
        <v>9000</v>
      </c>
      <c r="H55" s="93">
        <v>0</v>
      </c>
      <c r="I55" s="93">
        <v>0</v>
      </c>
      <c r="J55" s="93">
        <v>0</v>
      </c>
      <c r="K55" s="93">
        <f>7500+10300+7500</f>
        <v>25300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93191</v>
      </c>
    </row>
    <row r="56" spans="1:18" ht="15" thickTop="1">
      <c r="A56" s="94" t="s">
        <v>286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287</v>
      </c>
      <c r="B57" s="215" t="s">
        <v>400</v>
      </c>
      <c r="C57" s="82">
        <f>8300+7000+2567+3261+300</f>
        <v>21428</v>
      </c>
      <c r="D57" s="82"/>
      <c r="E57" s="82">
        <v>0</v>
      </c>
      <c r="F57" s="82"/>
      <c r="G57" s="82">
        <v>0</v>
      </c>
      <c r="H57" s="82"/>
      <c r="I57" s="82"/>
      <c r="J57" s="82"/>
      <c r="K57" s="82">
        <f>8400+5600</f>
        <v>14000</v>
      </c>
      <c r="L57" s="82"/>
      <c r="M57" s="82"/>
      <c r="N57" s="82"/>
      <c r="O57" s="82"/>
      <c r="P57" s="83">
        <v>0</v>
      </c>
      <c r="Q57" s="82"/>
      <c r="R57" s="83">
        <f>SUM(C57:P57)</f>
        <v>35428</v>
      </c>
    </row>
    <row r="58" spans="1:18" ht="14.25">
      <c r="A58" s="90" t="s">
        <v>288</v>
      </c>
      <c r="B58" s="76"/>
      <c r="C58" s="76">
        <f>10000+8500</f>
        <v>18500</v>
      </c>
      <c r="D58" s="76"/>
      <c r="E58" s="76" t="s">
        <v>411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18500</v>
      </c>
    </row>
    <row r="59" spans="1:18" ht="14.25">
      <c r="A59" s="94" t="s">
        <v>289</v>
      </c>
      <c r="B59" s="76"/>
      <c r="C59" s="76">
        <v>2080</v>
      </c>
      <c r="D59" s="76">
        <v>0</v>
      </c>
      <c r="E59" s="76">
        <v>0</v>
      </c>
      <c r="F59" s="76">
        <v>5250</v>
      </c>
      <c r="G59" s="76">
        <v>0</v>
      </c>
      <c r="H59" s="76">
        <f>28370.04</f>
        <v>28370.04</v>
      </c>
      <c r="I59" s="76"/>
      <c r="J59" s="76">
        <v>0</v>
      </c>
      <c r="K59" s="76">
        <f>2588+2788</f>
        <v>5376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41076.04</v>
      </c>
    </row>
    <row r="60" spans="1:18" ht="14.25">
      <c r="A60" s="94" t="s">
        <v>290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42008</v>
      </c>
      <c r="D61" s="61">
        <f>SUM(D59:D60)</f>
        <v>0</v>
      </c>
      <c r="E61" s="61">
        <f>SUM(E57:E59)</f>
        <v>0</v>
      </c>
      <c r="F61" s="61">
        <f>SUM(F59)</f>
        <v>5250</v>
      </c>
      <c r="G61" s="61">
        <f>SUM(G59:G60)</f>
        <v>0</v>
      </c>
      <c r="H61" s="61">
        <f>SUM(H59:H60)</f>
        <v>28370.04</v>
      </c>
      <c r="I61" s="61">
        <v>0</v>
      </c>
      <c r="J61" s="61">
        <f>SUM(J59)</f>
        <v>0</v>
      </c>
      <c r="K61" s="61">
        <f>SUM(K57:K60)</f>
        <v>19376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SUM(R57:R60)</f>
        <v>95004.04000000001</v>
      </c>
    </row>
    <row r="62" spans="1:18" ht="15" thickBot="1">
      <c r="A62" s="91" t="s">
        <v>37</v>
      </c>
      <c r="B62" s="93"/>
      <c r="C62" s="80">
        <f>12952+30429.7+42008</f>
        <v>85389.7</v>
      </c>
      <c r="D62" s="93">
        <v>0</v>
      </c>
      <c r="E62" s="93">
        <f>20680</f>
        <v>20680</v>
      </c>
      <c r="F62" s="93">
        <f>5250</f>
        <v>5250</v>
      </c>
      <c r="G62" s="93">
        <f>21924</f>
        <v>21924</v>
      </c>
      <c r="H62" s="93">
        <f>28370.04</f>
        <v>28370.04</v>
      </c>
      <c r="I62" s="93">
        <v>0</v>
      </c>
      <c r="J62" s="93">
        <v>0</v>
      </c>
      <c r="K62" s="93">
        <f>19376</f>
        <v>19376</v>
      </c>
      <c r="L62" s="93">
        <v>0</v>
      </c>
      <c r="M62" s="93">
        <v>0</v>
      </c>
      <c r="N62" s="93">
        <v>0</v>
      </c>
      <c r="O62" s="93">
        <v>0</v>
      </c>
      <c r="P62" s="93">
        <f>5952+167215</f>
        <v>173167</v>
      </c>
      <c r="Q62" s="93"/>
      <c r="R62" s="73">
        <f>SUM(C62:Q62)</f>
        <v>354156.74</v>
      </c>
    </row>
    <row r="63" spans="1:18" ht="15" thickTop="1">
      <c r="A63" s="94" t="s">
        <v>291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292</v>
      </c>
      <c r="B64" s="82"/>
      <c r="C64" s="82">
        <v>0</v>
      </c>
      <c r="D64" s="82"/>
      <c r="E64" s="82">
        <v>35728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35728</v>
      </c>
    </row>
    <row r="65" spans="1:18" ht="14.25">
      <c r="A65" s="90" t="s">
        <v>293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294</v>
      </c>
      <c r="B66" s="76"/>
      <c r="C66" s="76"/>
      <c r="D66" s="76"/>
      <c r="E66" s="76">
        <v>400</v>
      </c>
      <c r="F66" s="76"/>
      <c r="G66" s="76">
        <v>0</v>
      </c>
      <c r="H66" s="76">
        <v>0</v>
      </c>
      <c r="I66" s="76"/>
      <c r="J66" s="76" t="s">
        <v>257</v>
      </c>
      <c r="K66" s="76"/>
      <c r="L66" s="76"/>
      <c r="M66" s="76"/>
      <c r="N66" s="76"/>
      <c r="O66" s="76"/>
      <c r="P66" s="70"/>
      <c r="Q66" s="76"/>
      <c r="R66" s="70">
        <f>SUM(C66:P66)</f>
        <v>400</v>
      </c>
    </row>
    <row r="67" spans="1:18" ht="14.25">
      <c r="A67" s="94" t="s">
        <v>295</v>
      </c>
      <c r="B67" s="76"/>
      <c r="C67" s="76"/>
      <c r="D67" s="76"/>
      <c r="E67" s="76"/>
      <c r="F67" s="76"/>
      <c r="G67" s="76"/>
      <c r="H67" s="76">
        <f>77242.62</f>
        <v>77242.62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77242.62</v>
      </c>
    </row>
    <row r="68" spans="1:18" ht="14.25">
      <c r="A68" s="94" t="s">
        <v>296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297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298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299</v>
      </c>
      <c r="B71" s="76"/>
      <c r="C71" s="76">
        <v>8860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8860</v>
      </c>
    </row>
    <row r="72" spans="1:18" ht="14.25">
      <c r="A72" s="94" t="s">
        <v>300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301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302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8860</v>
      </c>
      <c r="D76" s="61">
        <f>SUM(D66:D75)</f>
        <v>0</v>
      </c>
      <c r="E76" s="61">
        <f>SUM(E64:E75)</f>
        <v>36128</v>
      </c>
      <c r="F76" s="61">
        <v>0</v>
      </c>
      <c r="G76" s="61">
        <f>SUM(G64:G75)</f>
        <v>0</v>
      </c>
      <c r="H76" s="61">
        <f>SUM(H64:H75)</f>
        <v>77242.62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122230.62</v>
      </c>
    </row>
    <row r="77" spans="1:18" ht="15" thickBot="1">
      <c r="A77" s="91" t="s">
        <v>37</v>
      </c>
      <c r="B77" s="93"/>
      <c r="C77" s="80">
        <f>17546+9305+8860</f>
        <v>35711</v>
      </c>
      <c r="D77" s="93">
        <v>0</v>
      </c>
      <c r="E77" s="93">
        <f>300+36128</f>
        <v>36428</v>
      </c>
      <c r="F77" s="93">
        <v>0</v>
      </c>
      <c r="G77" s="93">
        <v>0</v>
      </c>
      <c r="H77" s="93">
        <f>77242.62</f>
        <v>77242.62</v>
      </c>
      <c r="I77" s="93">
        <v>0</v>
      </c>
      <c r="J77" s="93">
        <v>0</v>
      </c>
      <c r="K77" s="93">
        <f>7850</f>
        <v>7850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157231.62</v>
      </c>
    </row>
    <row r="78" ht="15" thickTop="1"/>
    <row r="81" spans="1:18" s="64" customFormat="1" ht="13.5" customHeight="1">
      <c r="A81" s="65" t="s">
        <v>116</v>
      </c>
      <c r="B81" s="347" t="s">
        <v>93</v>
      </c>
      <c r="C81" s="348" t="s">
        <v>94</v>
      </c>
      <c r="D81" s="348"/>
      <c r="E81" s="348"/>
      <c r="F81" s="87" t="s">
        <v>95</v>
      </c>
      <c r="G81" s="348" t="s">
        <v>96</v>
      </c>
      <c r="H81" s="348"/>
      <c r="I81" s="348" t="s">
        <v>97</v>
      </c>
      <c r="J81" s="348"/>
      <c r="K81" s="348" t="s">
        <v>99</v>
      </c>
      <c r="L81" s="348"/>
      <c r="M81" s="349" t="s">
        <v>397</v>
      </c>
      <c r="N81" s="350"/>
      <c r="O81" s="348" t="s">
        <v>100</v>
      </c>
      <c r="P81" s="348"/>
      <c r="Q81" s="280" t="s">
        <v>114</v>
      </c>
      <c r="R81" s="351" t="s">
        <v>19</v>
      </c>
    </row>
    <row r="82" spans="1:18" s="64" customFormat="1" ht="13.5" customHeight="1">
      <c r="A82" s="66" t="s">
        <v>117</v>
      </c>
      <c r="B82" s="347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477</v>
      </c>
      <c r="N82" s="87" t="s">
        <v>396</v>
      </c>
      <c r="O82" s="87" t="s">
        <v>110</v>
      </c>
      <c r="P82" s="87" t="s">
        <v>111</v>
      </c>
      <c r="Q82" s="192" t="s">
        <v>115</v>
      </c>
      <c r="R82" s="352"/>
    </row>
    <row r="83" spans="1:18" ht="13.5" customHeight="1">
      <c r="A83" s="92" t="s">
        <v>304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305</v>
      </c>
      <c r="B84" s="67"/>
      <c r="C84" s="67">
        <f>2810.88+11016.27</f>
        <v>13827.150000000001</v>
      </c>
      <c r="D84" s="67"/>
      <c r="E84" s="67"/>
      <c r="F84" s="67"/>
      <c r="G84" s="67">
        <v>1027.31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14854.460000000001</v>
      </c>
    </row>
    <row r="85" spans="1:18" ht="13.5" customHeight="1">
      <c r="A85" s="90" t="s">
        <v>306</v>
      </c>
      <c r="B85" s="70"/>
      <c r="C85" s="70">
        <v>438</v>
      </c>
      <c r="D85" s="70"/>
      <c r="E85" s="70"/>
      <c r="F85" s="70"/>
      <c r="G85" s="70">
        <v>294</v>
      </c>
      <c r="H85" s="70" t="s">
        <v>257</v>
      </c>
      <c r="I85" s="70" t="s">
        <v>257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732</v>
      </c>
    </row>
    <row r="86" spans="1:18" ht="13.5" customHeight="1">
      <c r="A86" s="90" t="s">
        <v>307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308</v>
      </c>
      <c r="B87" s="70"/>
      <c r="C87" s="70">
        <v>20000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20000</v>
      </c>
    </row>
    <row r="88" spans="1:18" ht="13.5" customHeight="1">
      <c r="A88" s="90" t="s">
        <v>309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34265.15</v>
      </c>
      <c r="D89" s="61">
        <v>0</v>
      </c>
      <c r="E89" s="61">
        <v>0</v>
      </c>
      <c r="F89" s="61">
        <v>0</v>
      </c>
      <c r="G89" s="61">
        <f>SUM(G84:G88)</f>
        <v>1321.31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35586.46</v>
      </c>
    </row>
    <row r="90" spans="1:18" ht="13.5" customHeight="1" thickBot="1">
      <c r="A90" s="91" t="s">
        <v>37</v>
      </c>
      <c r="B90" s="61"/>
      <c r="C90" s="61">
        <f>18363.88+17863.61+34265.15</f>
        <v>70492.64000000001</v>
      </c>
      <c r="D90" s="61">
        <v>0</v>
      </c>
      <c r="E90" s="61">
        <v>0</v>
      </c>
      <c r="F90" s="61">
        <v>0</v>
      </c>
      <c r="G90" s="61">
        <f>3961.3+3535.08+1321.31</f>
        <v>8817.69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79310.33000000002</v>
      </c>
    </row>
    <row r="91" spans="1:18" ht="13.5" customHeight="1" thickTop="1">
      <c r="A91" s="92" t="s">
        <v>310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311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312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316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317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318</v>
      </c>
      <c r="B99" s="77"/>
      <c r="C99" s="77">
        <v>1700</v>
      </c>
      <c r="D99" s="77"/>
      <c r="E99" s="77">
        <v>0</v>
      </c>
      <c r="F99" s="77"/>
      <c r="G99" s="77">
        <v>1900</v>
      </c>
      <c r="H99" s="151"/>
      <c r="I99" s="77">
        <v>0</v>
      </c>
      <c r="J99" s="77"/>
      <c r="K99" s="77">
        <v>1920</v>
      </c>
      <c r="L99" s="77"/>
      <c r="M99" s="77"/>
      <c r="N99" s="77"/>
      <c r="O99" s="77"/>
      <c r="P99" s="67"/>
      <c r="Q99" s="77"/>
      <c r="R99" s="213">
        <f>SUM(C99:Q99)</f>
        <v>5520</v>
      </c>
    </row>
    <row r="100" spans="1:18" ht="13.5" customHeight="1">
      <c r="A100" s="90" t="s">
        <v>36</v>
      </c>
      <c r="B100" s="61"/>
      <c r="C100" s="61">
        <f>SUM(C99)</f>
        <v>1700</v>
      </c>
      <c r="D100" s="61">
        <v>0</v>
      </c>
      <c r="E100" s="61">
        <f>SUM(E99)</f>
        <v>0</v>
      </c>
      <c r="F100" s="61">
        <v>0</v>
      </c>
      <c r="G100" s="72">
        <f>SUM(G99)</f>
        <v>1900</v>
      </c>
      <c r="H100" s="61">
        <v>0</v>
      </c>
      <c r="I100" s="61">
        <f>SUM(I99)</f>
        <v>0</v>
      </c>
      <c r="J100" s="61">
        <v>0</v>
      </c>
      <c r="K100" s="61">
        <f>SUM(K98:K99)</f>
        <v>1920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5520</v>
      </c>
    </row>
    <row r="101" spans="1:18" ht="13.5" customHeight="1" thickBot="1">
      <c r="A101" s="91" t="s">
        <v>37</v>
      </c>
      <c r="B101" s="93"/>
      <c r="C101" s="93">
        <f>13417.27+1700</f>
        <v>15117.27</v>
      </c>
      <c r="D101" s="93">
        <v>0</v>
      </c>
      <c r="E101" s="93">
        <f>550</f>
        <v>550</v>
      </c>
      <c r="F101" s="93">
        <v>0</v>
      </c>
      <c r="G101" s="93">
        <f>30000+1900</f>
        <v>31900</v>
      </c>
      <c r="H101" s="93">
        <v>0</v>
      </c>
      <c r="I101" s="93">
        <v>0</v>
      </c>
      <c r="J101" s="93">
        <v>0</v>
      </c>
      <c r="K101" s="93">
        <f>1500+2300</f>
        <v>3800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51367.270000000004</v>
      </c>
    </row>
    <row r="102" spans="1:18" ht="13.5" customHeight="1" thickTop="1">
      <c r="A102" s="94" t="s">
        <v>319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320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321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322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323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324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325</v>
      </c>
      <c r="B110" s="77"/>
      <c r="C110" s="76">
        <v>0</v>
      </c>
      <c r="D110" s="76"/>
      <c r="E110" s="76"/>
      <c r="F110" s="76"/>
      <c r="G110" s="76">
        <v>0</v>
      </c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395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326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f>384580</f>
        <v>384580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f>SUM(R110:R112)</f>
        <v>0</v>
      </c>
    </row>
    <row r="115" spans="1:18" ht="13.5" customHeight="1" thickTop="1">
      <c r="A115" s="94" t="s">
        <v>327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328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7752</v>
      </c>
      <c r="C119" s="61">
        <f>SUM(C22+C28+C33+C46+C54+C61+C76+C89+C100+C106++C113)</f>
        <v>564633.15</v>
      </c>
      <c r="D119" s="150">
        <f>SUM(D118)</f>
        <v>0</v>
      </c>
      <c r="E119" s="150">
        <f>SUM(E22+E28+E33+E46+E54+E61+E76+E89+E100+E106+E113)</f>
        <v>152923</v>
      </c>
      <c r="F119" s="150">
        <f>SUM(F61)</f>
        <v>5250</v>
      </c>
      <c r="G119" s="150">
        <f>SUM(G28+G46+G54+G61+G76+G89+G100+G106+G113)</f>
        <v>58961.31</v>
      </c>
      <c r="H119" s="150">
        <f>SUM(H46+H61+H113+H76)</f>
        <v>105612.66</v>
      </c>
      <c r="I119" s="150">
        <f>SUM(I46+I54+I61+I76+I89+I100+I106+I113)</f>
        <v>10000</v>
      </c>
      <c r="J119" s="150">
        <f>SUM(J46+J54+J61+J76+J89+J100+J106+J113)</f>
        <v>0</v>
      </c>
      <c r="K119" s="150">
        <f>SUM(K28+K33+K46+K54+K61+K76+K89+K100+K106+K113)</f>
        <v>111266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1016398.12</v>
      </c>
    </row>
    <row r="120" spans="1:18" ht="13.5" customHeight="1" thickBot="1">
      <c r="A120" s="91" t="s">
        <v>37</v>
      </c>
      <c r="B120" s="73">
        <f>54652+155486+7752</f>
        <v>217890</v>
      </c>
      <c r="C120" s="93">
        <f>527791.88+551486.58+564633.15</f>
        <v>1643911.6099999999</v>
      </c>
      <c r="D120" s="93">
        <v>0</v>
      </c>
      <c r="E120" s="93">
        <f>127005+145335+152923</f>
        <v>425263</v>
      </c>
      <c r="F120" s="93">
        <f>5250</f>
        <v>5250</v>
      </c>
      <c r="G120" s="93">
        <f>59701.3+495779.08+58961.31</f>
        <v>614441.69</v>
      </c>
      <c r="H120" s="93">
        <f>105612.66</f>
        <v>105612.66</v>
      </c>
      <c r="I120" s="93">
        <f>10000+10000+10000</f>
        <v>30000</v>
      </c>
      <c r="J120" s="93">
        <v>0</v>
      </c>
      <c r="K120" s="93">
        <f>99320+95070+111266</f>
        <v>305656</v>
      </c>
      <c r="L120" s="93">
        <v>0</v>
      </c>
      <c r="M120" s="93">
        <v>0</v>
      </c>
      <c r="N120" s="93">
        <v>0</v>
      </c>
      <c r="O120" s="93">
        <v>0</v>
      </c>
      <c r="P120" s="93">
        <f>5952+167215</f>
        <v>173167</v>
      </c>
      <c r="Q120" s="93">
        <v>0</v>
      </c>
      <c r="R120" s="73">
        <f>SUM(B120:Q120)</f>
        <v>3521191.96</v>
      </c>
    </row>
    <row r="121" ht="15" thickTop="1"/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5" t="s">
        <v>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16.5">
      <c r="A2" s="345" t="s">
        <v>490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ht="16.5">
      <c r="A3" s="346" t="s">
        <v>574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="123" customFormat="1" ht="14.25">
      <c r="Q4" s="191"/>
    </row>
    <row r="5" spans="1:18" s="64" customFormat="1" ht="14.25">
      <c r="A5" s="65" t="s">
        <v>116</v>
      </c>
      <c r="B5" s="347" t="s">
        <v>93</v>
      </c>
      <c r="C5" s="348" t="s">
        <v>94</v>
      </c>
      <c r="D5" s="348"/>
      <c r="E5" s="348"/>
      <c r="F5" s="87" t="s">
        <v>95</v>
      </c>
      <c r="G5" s="348" t="s">
        <v>96</v>
      </c>
      <c r="H5" s="348"/>
      <c r="I5" s="348" t="s">
        <v>97</v>
      </c>
      <c r="J5" s="348"/>
      <c r="K5" s="348" t="s">
        <v>99</v>
      </c>
      <c r="L5" s="348"/>
      <c r="M5" s="349" t="s">
        <v>397</v>
      </c>
      <c r="N5" s="350"/>
      <c r="O5" s="348" t="s">
        <v>100</v>
      </c>
      <c r="P5" s="348"/>
      <c r="Q5" s="281" t="s">
        <v>114</v>
      </c>
      <c r="R5" s="351" t="s">
        <v>19</v>
      </c>
    </row>
    <row r="6" spans="1:18" s="64" customFormat="1" ht="14.25">
      <c r="A6" s="66" t="s">
        <v>117</v>
      </c>
      <c r="B6" s="347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477</v>
      </c>
      <c r="N6" s="87" t="s">
        <v>396</v>
      </c>
      <c r="O6" s="87" t="s">
        <v>110</v>
      </c>
      <c r="P6" s="87" t="s">
        <v>111</v>
      </c>
      <c r="Q6" s="192" t="s">
        <v>115</v>
      </c>
      <c r="R6" s="352"/>
    </row>
    <row r="7" spans="1:18" ht="14.25">
      <c r="A7" s="88" t="s">
        <v>259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260</v>
      </c>
      <c r="B8" s="67">
        <v>500</v>
      </c>
      <c r="C8" s="67"/>
      <c r="D8" s="67"/>
      <c r="E8" s="67" t="s">
        <v>257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</v>
      </c>
    </row>
    <row r="9" spans="1:18" ht="14.25">
      <c r="A9" s="90" t="s">
        <v>488</v>
      </c>
      <c r="B9" s="70">
        <f>586400+17900+1800</f>
        <v>606100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606100</v>
      </c>
    </row>
    <row r="10" spans="1:18" ht="14.25">
      <c r="A10" s="90" t="s">
        <v>489</v>
      </c>
      <c r="B10" s="70">
        <f>137600+8800</f>
        <v>146400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146400</v>
      </c>
    </row>
    <row r="11" spans="1:18" ht="14.25">
      <c r="A11" s="90" t="s">
        <v>263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264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753000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753000</v>
      </c>
    </row>
    <row r="14" spans="1:18" ht="15" thickBot="1">
      <c r="A14" s="91" t="s">
        <v>37</v>
      </c>
      <c r="B14" s="73">
        <f>760350+757300+753000</f>
        <v>2270650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2270650</v>
      </c>
    </row>
    <row r="15" spans="1:18" ht="15" thickTop="1">
      <c r="A15" s="92" t="s">
        <v>265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456</v>
      </c>
    </row>
    <row r="16" spans="1:18" ht="14.25">
      <c r="A16" s="90" t="s">
        <v>266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267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268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269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270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271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273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16190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16190</v>
      </c>
    </row>
    <row r="26" spans="1:18" ht="14.25">
      <c r="A26" s="90" t="s">
        <v>274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275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16190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16190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</f>
        <v>48570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48570</v>
      </c>
    </row>
    <row r="30" spans="1:18" ht="15" thickTop="1">
      <c r="A30" s="89" t="s">
        <v>272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276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277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47" t="s">
        <v>93</v>
      </c>
      <c r="C41" s="348" t="s">
        <v>94</v>
      </c>
      <c r="D41" s="348"/>
      <c r="E41" s="348"/>
      <c r="F41" s="87" t="s">
        <v>95</v>
      </c>
      <c r="G41" s="348" t="s">
        <v>96</v>
      </c>
      <c r="H41" s="348"/>
      <c r="I41" s="348" t="s">
        <v>97</v>
      </c>
      <c r="J41" s="348"/>
      <c r="K41" s="348" t="s">
        <v>99</v>
      </c>
      <c r="L41" s="348"/>
      <c r="M41" s="349" t="s">
        <v>397</v>
      </c>
      <c r="N41" s="350"/>
      <c r="O41" s="348" t="s">
        <v>100</v>
      </c>
      <c r="P41" s="348"/>
      <c r="Q41" s="280" t="s">
        <v>114</v>
      </c>
      <c r="R41" s="351" t="s">
        <v>19</v>
      </c>
    </row>
    <row r="42" spans="1:18" s="64" customFormat="1" ht="14.25">
      <c r="A42" s="66" t="s">
        <v>117</v>
      </c>
      <c r="B42" s="347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477</v>
      </c>
      <c r="N42" s="87" t="s">
        <v>396</v>
      </c>
      <c r="O42" s="87" t="s">
        <v>110</v>
      </c>
      <c r="P42" s="87" t="s">
        <v>111</v>
      </c>
      <c r="Q42" s="192" t="s">
        <v>115</v>
      </c>
      <c r="R42" s="352"/>
    </row>
    <row r="43" spans="1:18" ht="14.25">
      <c r="A43" s="92" t="s">
        <v>272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278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9000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9000</v>
      </c>
    </row>
    <row r="45" spans="1:18" ht="14.25">
      <c r="A45" s="94" t="s">
        <v>279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1000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1000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10000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</f>
        <v>29000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29000</v>
      </c>
    </row>
    <row r="48" spans="1:18" ht="15" thickTop="1">
      <c r="A48" s="92" t="s">
        <v>280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281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282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283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284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287</v>
      </c>
      <c r="B57" s="215" t="s">
        <v>400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288</v>
      </c>
      <c r="B58" s="76"/>
      <c r="C58" s="76">
        <v>0</v>
      </c>
      <c r="D58" s="76"/>
      <c r="E58" s="76" t="s">
        <v>411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289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0</v>
      </c>
    </row>
    <row r="60" spans="1:18" ht="14.25">
      <c r="A60" s="94" t="s">
        <v>290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v>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292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293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294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257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295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297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298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299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300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301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302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47" t="s">
        <v>93</v>
      </c>
      <c r="C81" s="348" t="s">
        <v>94</v>
      </c>
      <c r="D81" s="348"/>
      <c r="E81" s="348"/>
      <c r="F81" s="87" t="s">
        <v>95</v>
      </c>
      <c r="G81" s="348" t="s">
        <v>96</v>
      </c>
      <c r="H81" s="348"/>
      <c r="I81" s="348" t="s">
        <v>97</v>
      </c>
      <c r="J81" s="348"/>
      <c r="K81" s="348" t="s">
        <v>99</v>
      </c>
      <c r="L81" s="348"/>
      <c r="M81" s="349" t="s">
        <v>397</v>
      </c>
      <c r="N81" s="350"/>
      <c r="O81" s="348" t="s">
        <v>100</v>
      </c>
      <c r="P81" s="348"/>
      <c r="Q81" s="280" t="s">
        <v>114</v>
      </c>
      <c r="R81" s="351" t="s">
        <v>19</v>
      </c>
    </row>
    <row r="82" spans="1:18" s="64" customFormat="1" ht="13.5" customHeight="1">
      <c r="A82" s="66" t="s">
        <v>117</v>
      </c>
      <c r="B82" s="347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477</v>
      </c>
      <c r="N82" s="87" t="s">
        <v>396</v>
      </c>
      <c r="O82" s="87" t="s">
        <v>110</v>
      </c>
      <c r="P82" s="87" t="s">
        <v>111</v>
      </c>
      <c r="Q82" s="192" t="s">
        <v>115</v>
      </c>
      <c r="R82" s="352"/>
    </row>
    <row r="83" spans="1:18" ht="13.5" customHeight="1">
      <c r="A83" s="92" t="s">
        <v>304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305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306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257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307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308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309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310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311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312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316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317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318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320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321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322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323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324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325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395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326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327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328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753000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SUM(H28+H46)</f>
        <v>26190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779190</v>
      </c>
    </row>
    <row r="120" spans="1:18" ht="13.5" customHeight="1" thickBot="1">
      <c r="A120" s="91" t="s">
        <v>37</v>
      </c>
      <c r="B120" s="73">
        <f>760350+757300+753000</f>
        <v>2270650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</f>
        <v>77570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73">
        <f>SUM(B120:Q120)</f>
        <v>2348220</v>
      </c>
    </row>
    <row r="121" ht="15" thickTop="1"/>
  </sheetData>
  <sheetProtection/>
  <mergeCells count="27">
    <mergeCell ref="O81:P81"/>
    <mergeCell ref="R81:R82"/>
    <mergeCell ref="B81:B82"/>
    <mergeCell ref="C81:E81"/>
    <mergeCell ref="G81:H81"/>
    <mergeCell ref="I81:J81"/>
    <mergeCell ref="K81:L81"/>
    <mergeCell ref="M81:N81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9">
      <selection activeCell="D18" sqref="D18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4" t="s">
        <v>524</v>
      </c>
      <c r="B1" s="294"/>
      <c r="C1" s="294"/>
      <c r="D1" s="294"/>
      <c r="E1" s="294"/>
    </row>
    <row r="2" spans="1:5" ht="21">
      <c r="A2" s="294" t="s">
        <v>252</v>
      </c>
      <c r="B2" s="294"/>
      <c r="C2" s="294"/>
      <c r="D2" s="294"/>
      <c r="E2" s="294"/>
    </row>
    <row r="3" spans="1:8" ht="21">
      <c r="A3" s="171" t="s">
        <v>137</v>
      </c>
      <c r="B3" s="171" t="s">
        <v>138</v>
      </c>
      <c r="C3" s="172" t="s">
        <v>139</v>
      </c>
      <c r="D3" s="171" t="s">
        <v>140</v>
      </c>
      <c r="E3" s="173" t="s">
        <v>141</v>
      </c>
      <c r="H3" s="22" t="s">
        <v>398</v>
      </c>
    </row>
    <row r="4" spans="1:5" ht="21">
      <c r="A4" s="174">
        <v>1</v>
      </c>
      <c r="B4" s="202">
        <v>21204</v>
      </c>
      <c r="C4" s="175" t="s">
        <v>406</v>
      </c>
      <c r="D4" s="174" t="s">
        <v>405</v>
      </c>
      <c r="E4" s="176">
        <v>50000</v>
      </c>
    </row>
    <row r="5" spans="1:5" ht="21">
      <c r="A5" s="174">
        <v>2</v>
      </c>
      <c r="B5" s="202">
        <v>21549</v>
      </c>
      <c r="C5" s="175" t="s">
        <v>538</v>
      </c>
      <c r="D5" s="174" t="s">
        <v>407</v>
      </c>
      <c r="E5" s="176">
        <v>50000</v>
      </c>
    </row>
    <row r="6" spans="1:5" ht="21">
      <c r="A6" s="174">
        <v>3</v>
      </c>
      <c r="B6" s="202">
        <v>21351</v>
      </c>
      <c r="C6" s="175" t="s">
        <v>535</v>
      </c>
      <c r="D6" s="174" t="s">
        <v>223</v>
      </c>
      <c r="E6" s="176">
        <v>16000</v>
      </c>
    </row>
    <row r="7" spans="1:5" ht="21">
      <c r="A7" s="174">
        <v>4</v>
      </c>
      <c r="B7" s="202">
        <v>21449</v>
      </c>
      <c r="C7" s="175" t="s">
        <v>462</v>
      </c>
      <c r="D7" s="174" t="s">
        <v>224</v>
      </c>
      <c r="E7" s="176">
        <v>44000</v>
      </c>
    </row>
    <row r="8" spans="1:5" ht="21">
      <c r="A8" s="174">
        <v>5</v>
      </c>
      <c r="B8" s="202">
        <v>21541</v>
      </c>
      <c r="C8" s="175" t="s">
        <v>536</v>
      </c>
      <c r="D8" s="174" t="s">
        <v>537</v>
      </c>
      <c r="E8" s="176">
        <v>40000</v>
      </c>
    </row>
    <row r="9" spans="1:5" ht="21">
      <c r="A9" s="174">
        <v>6</v>
      </c>
      <c r="B9" s="202">
        <v>21541</v>
      </c>
      <c r="C9" s="175" t="s">
        <v>533</v>
      </c>
      <c r="D9" s="174" t="s">
        <v>534</v>
      </c>
      <c r="E9" s="176">
        <v>76000</v>
      </c>
    </row>
    <row r="10" spans="1:5" ht="21">
      <c r="A10" s="174">
        <v>7</v>
      </c>
      <c r="B10" s="202">
        <v>21478</v>
      </c>
      <c r="C10" s="175" t="s">
        <v>480</v>
      </c>
      <c r="D10" s="174" t="s">
        <v>371</v>
      </c>
      <c r="E10" s="176">
        <v>24000</v>
      </c>
    </row>
    <row r="11" spans="1:5" ht="21">
      <c r="A11" s="174">
        <v>8</v>
      </c>
      <c r="B11" s="202">
        <v>21465</v>
      </c>
      <c r="C11" s="175" t="s">
        <v>482</v>
      </c>
      <c r="D11" s="174" t="s">
        <v>483</v>
      </c>
      <c r="E11" s="176">
        <v>30000</v>
      </c>
    </row>
    <row r="12" spans="1:5" ht="21">
      <c r="A12" s="174">
        <v>9</v>
      </c>
      <c r="B12" s="202">
        <v>240493</v>
      </c>
      <c r="C12" s="175" t="s">
        <v>450</v>
      </c>
      <c r="D12" s="174" t="s">
        <v>225</v>
      </c>
      <c r="E12" s="176">
        <v>30000</v>
      </c>
    </row>
    <row r="13" spans="1:5" ht="21">
      <c r="A13" s="174">
        <v>10</v>
      </c>
      <c r="B13" s="202">
        <v>21442</v>
      </c>
      <c r="C13" s="175" t="s">
        <v>463</v>
      </c>
      <c r="D13" s="174" t="s">
        <v>464</v>
      </c>
      <c r="E13" s="176">
        <v>40000</v>
      </c>
    </row>
    <row r="14" spans="1:5" ht="21">
      <c r="A14" s="174">
        <v>11</v>
      </c>
      <c r="B14" s="202">
        <v>21522</v>
      </c>
      <c r="C14" s="175" t="s">
        <v>525</v>
      </c>
      <c r="D14" s="174" t="s">
        <v>526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366</v>
      </c>
      <c r="D15" s="174" t="s">
        <v>226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367</v>
      </c>
      <c r="D16" s="174" t="s">
        <v>227</v>
      </c>
      <c r="E16" s="176">
        <v>39000</v>
      </c>
    </row>
    <row r="17" spans="1:5" ht="21">
      <c r="A17" s="174">
        <v>14</v>
      </c>
      <c r="B17" s="202">
        <v>21201</v>
      </c>
      <c r="C17" s="175" t="s">
        <v>408</v>
      </c>
      <c r="D17" s="174" t="s">
        <v>228</v>
      </c>
      <c r="E17" s="176">
        <v>70000</v>
      </c>
    </row>
    <row r="18" spans="1:5" ht="21">
      <c r="A18" s="174">
        <v>15</v>
      </c>
      <c r="B18" s="202">
        <v>21431</v>
      </c>
      <c r="C18" s="175" t="s">
        <v>479</v>
      </c>
      <c r="D18" s="174" t="s">
        <v>465</v>
      </c>
      <c r="E18" s="176">
        <v>30000</v>
      </c>
    </row>
    <row r="19" spans="1:5" ht="21">
      <c r="A19" s="174">
        <v>16</v>
      </c>
      <c r="B19" s="202">
        <v>21470</v>
      </c>
      <c r="C19" s="175" t="s">
        <v>481</v>
      </c>
      <c r="D19" s="174" t="s">
        <v>368</v>
      </c>
      <c r="E19" s="176">
        <v>100000</v>
      </c>
    </row>
    <row r="20" spans="1:5" ht="21">
      <c r="A20" s="174">
        <v>17</v>
      </c>
      <c r="B20" s="202">
        <v>21424</v>
      </c>
      <c r="C20" s="175" t="s">
        <v>485</v>
      </c>
      <c r="D20" s="174" t="s">
        <v>255</v>
      </c>
      <c r="E20" s="176">
        <v>47000</v>
      </c>
    </row>
    <row r="21" spans="1:5" ht="21">
      <c r="A21" s="174">
        <v>18</v>
      </c>
      <c r="B21" s="202">
        <v>21509</v>
      </c>
      <c r="C21" s="175" t="s">
        <v>504</v>
      </c>
      <c r="D21" s="174" t="s">
        <v>505</v>
      </c>
      <c r="E21" s="176">
        <v>40000</v>
      </c>
    </row>
    <row r="22" spans="1:5" ht="21">
      <c r="A22" s="174">
        <v>19</v>
      </c>
      <c r="B22" s="202">
        <v>21206</v>
      </c>
      <c r="C22" s="175" t="s">
        <v>409</v>
      </c>
      <c r="D22" s="174" t="s">
        <v>410</v>
      </c>
      <c r="E22" s="176">
        <v>13000</v>
      </c>
    </row>
    <row r="23" spans="1:5" ht="21">
      <c r="A23" s="174">
        <v>20</v>
      </c>
      <c r="B23" s="202">
        <v>237770</v>
      </c>
      <c r="C23" s="175" t="s">
        <v>229</v>
      </c>
      <c r="D23" s="174" t="s">
        <v>230</v>
      </c>
      <c r="E23" s="176">
        <v>13780</v>
      </c>
    </row>
    <row r="24" spans="1:5" ht="21">
      <c r="A24" s="174">
        <v>21</v>
      </c>
      <c r="B24" s="202">
        <v>237770</v>
      </c>
      <c r="C24" s="175" t="s">
        <v>175</v>
      </c>
      <c r="D24" s="174" t="s">
        <v>231</v>
      </c>
      <c r="E24" s="176">
        <v>8780</v>
      </c>
    </row>
    <row r="25" spans="1:5" ht="21">
      <c r="A25" s="174">
        <v>22</v>
      </c>
      <c r="B25" s="202">
        <v>21541</v>
      </c>
      <c r="C25" s="175" t="s">
        <v>531</v>
      </c>
      <c r="D25" s="174" t="s">
        <v>532</v>
      </c>
      <c r="E25" s="176">
        <v>60000</v>
      </c>
    </row>
    <row r="26" spans="1:5" ht="21">
      <c r="A26" s="174">
        <v>23</v>
      </c>
      <c r="B26" s="202">
        <v>21183</v>
      </c>
      <c r="C26" s="175" t="s">
        <v>401</v>
      </c>
      <c r="D26" s="174" t="s">
        <v>484</v>
      </c>
      <c r="E26" s="176">
        <v>20000</v>
      </c>
    </row>
    <row r="27" spans="1:5" ht="21">
      <c r="A27" s="174">
        <v>24</v>
      </c>
      <c r="B27" s="202">
        <v>21541</v>
      </c>
      <c r="C27" s="175" t="s">
        <v>527</v>
      </c>
      <c r="D27" s="174" t="s">
        <v>528</v>
      </c>
      <c r="E27" s="176">
        <v>24000</v>
      </c>
    </row>
    <row r="28" spans="1:5" ht="21">
      <c r="A28" s="174">
        <v>25</v>
      </c>
      <c r="B28" s="202">
        <v>21541</v>
      </c>
      <c r="C28" s="175" t="s">
        <v>529</v>
      </c>
      <c r="D28" s="174" t="s">
        <v>530</v>
      </c>
      <c r="E28" s="176">
        <v>26000</v>
      </c>
    </row>
    <row r="29" spans="1:5" ht="21">
      <c r="A29" s="174"/>
      <c r="B29" s="202"/>
      <c r="C29" s="175"/>
      <c r="D29" s="174"/>
      <c r="E29" s="176"/>
    </row>
    <row r="30" spans="1:5" ht="21">
      <c r="A30" s="293" t="s">
        <v>19</v>
      </c>
      <c r="B30" s="293"/>
      <c r="C30" s="293"/>
      <c r="D30" s="293"/>
      <c r="E30" s="177">
        <f>SUM(E4:E29)</f>
        <v>1031560</v>
      </c>
    </row>
    <row r="31" ht="21">
      <c r="E31" s="179" t="s">
        <v>257</v>
      </c>
    </row>
    <row r="32" spans="1:6" ht="21">
      <c r="A32" s="295" t="s">
        <v>256</v>
      </c>
      <c r="B32" s="295"/>
      <c r="C32" s="295"/>
      <c r="D32" s="295"/>
      <c r="E32" s="295"/>
      <c r="F32" s="180"/>
    </row>
    <row r="33" spans="1:6" ht="21">
      <c r="A33" s="292" t="s">
        <v>221</v>
      </c>
      <c r="B33" s="292"/>
      <c r="C33" s="292"/>
      <c r="D33" s="292"/>
      <c r="E33" s="292"/>
      <c r="F33" s="292"/>
    </row>
    <row r="34" spans="1:6" ht="21">
      <c r="A34" s="292" t="s">
        <v>222</v>
      </c>
      <c r="B34" s="292"/>
      <c r="C34" s="292"/>
      <c r="D34" s="292"/>
      <c r="E34" s="292"/>
      <c r="F34" s="292"/>
    </row>
    <row r="36" ht="21">
      <c r="I36" s="22" t="s">
        <v>404</v>
      </c>
    </row>
    <row r="49" ht="21">
      <c r="E49" s="179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18" sqref="B17:B18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296" t="s">
        <v>539</v>
      </c>
      <c r="B1" s="296"/>
      <c r="C1" s="296"/>
      <c r="D1" s="296"/>
      <c r="E1" s="34"/>
    </row>
    <row r="2" spans="1:5" ht="23.25">
      <c r="A2" s="296" t="s">
        <v>250</v>
      </c>
      <c r="B2" s="296"/>
      <c r="C2" s="296"/>
      <c r="D2" s="296"/>
      <c r="E2" s="34"/>
    </row>
    <row r="3" spans="1:4" ht="23.25">
      <c r="A3" s="296" t="s">
        <v>232</v>
      </c>
      <c r="B3" s="296"/>
      <c r="C3" s="296"/>
      <c r="D3" s="296"/>
    </row>
    <row r="5" spans="1:4" ht="23.25">
      <c r="A5" s="127" t="s">
        <v>137</v>
      </c>
      <c r="B5" s="127" t="s">
        <v>24</v>
      </c>
      <c r="C5" s="127" t="s">
        <v>70</v>
      </c>
      <c r="D5" s="127" t="s">
        <v>233</v>
      </c>
    </row>
    <row r="6" spans="1:4" ht="23.25">
      <c r="A6" s="139">
        <v>1</v>
      </c>
      <c r="B6" s="140" t="s">
        <v>234</v>
      </c>
      <c r="C6" s="141">
        <v>100000</v>
      </c>
      <c r="D6" s="140"/>
    </row>
    <row r="7" spans="1:4" ht="23.25">
      <c r="A7" s="142">
        <v>2</v>
      </c>
      <c r="B7" s="143" t="s">
        <v>235</v>
      </c>
      <c r="C7" s="144">
        <v>100000</v>
      </c>
      <c r="D7" s="143"/>
    </row>
    <row r="8" spans="1:4" ht="23.25">
      <c r="A8" s="142">
        <v>3</v>
      </c>
      <c r="B8" s="143" t="s">
        <v>236</v>
      </c>
      <c r="C8" s="144">
        <v>100000</v>
      </c>
      <c r="D8" s="143"/>
    </row>
    <row r="9" spans="1:4" ht="23.25">
      <c r="A9" s="142">
        <v>4</v>
      </c>
      <c r="B9" s="143" t="s">
        <v>237</v>
      </c>
      <c r="C9" s="144">
        <v>100000</v>
      </c>
      <c r="D9" s="143"/>
    </row>
    <row r="10" spans="1:4" ht="23.25">
      <c r="A10" s="142">
        <v>5</v>
      </c>
      <c r="B10" s="143" t="s">
        <v>238</v>
      </c>
      <c r="C10" s="144">
        <v>100000</v>
      </c>
      <c r="D10" s="143"/>
    </row>
    <row r="11" spans="1:4" ht="23.25">
      <c r="A11" s="142">
        <v>6</v>
      </c>
      <c r="B11" s="143" t="s">
        <v>239</v>
      </c>
      <c r="C11" s="144">
        <v>100000</v>
      </c>
      <c r="D11" s="143"/>
    </row>
    <row r="12" spans="1:4" ht="23.25">
      <c r="A12" s="142">
        <v>7</v>
      </c>
      <c r="B12" s="143" t="s">
        <v>240</v>
      </c>
      <c r="C12" s="144">
        <v>100000</v>
      </c>
      <c r="D12" s="143"/>
    </row>
    <row r="13" spans="1:4" ht="23.25">
      <c r="A13" s="142">
        <v>8</v>
      </c>
      <c r="B13" s="143" t="s">
        <v>241</v>
      </c>
      <c r="C13" s="144">
        <v>100000</v>
      </c>
      <c r="D13" s="143"/>
    </row>
    <row r="14" spans="1:4" ht="23.25">
      <c r="A14" s="142">
        <v>9</v>
      </c>
      <c r="B14" s="143" t="s">
        <v>242</v>
      </c>
      <c r="C14" s="144">
        <v>100000</v>
      </c>
      <c r="D14" s="143"/>
    </row>
    <row r="15" spans="1:4" ht="23.25">
      <c r="A15" s="142">
        <v>10</v>
      </c>
      <c r="B15" s="143" t="s">
        <v>243</v>
      </c>
      <c r="C15" s="144">
        <v>100000</v>
      </c>
      <c r="D15" s="143"/>
    </row>
    <row r="16" spans="1:4" ht="23.25">
      <c r="A16" s="145">
        <v>11</v>
      </c>
      <c r="B16" s="146" t="s">
        <v>244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245</v>
      </c>
      <c r="D20" s="126" t="s">
        <v>246</v>
      </c>
    </row>
    <row r="21" spans="1:3" ht="23.25">
      <c r="A21" s="126" t="s">
        <v>247</v>
      </c>
      <c r="C21" s="126" t="s">
        <v>251</v>
      </c>
    </row>
    <row r="22" spans="1:3" ht="23.25">
      <c r="A22" s="126" t="s">
        <v>248</v>
      </c>
      <c r="C22" s="126" t="s">
        <v>249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61">
      <selection activeCell="D50" sqref="D50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296" t="s">
        <v>540</v>
      </c>
      <c r="B1" s="296"/>
      <c r="C1" s="296"/>
      <c r="D1" s="296"/>
      <c r="E1" s="296"/>
      <c r="F1" s="296"/>
    </row>
    <row r="2" spans="1:6" ht="23.25">
      <c r="A2" s="296" t="s">
        <v>363</v>
      </c>
      <c r="B2" s="296"/>
      <c r="C2" s="296"/>
      <c r="D2" s="296"/>
      <c r="E2" s="296"/>
      <c r="F2" s="296"/>
    </row>
    <row r="3" spans="1:6" ht="23.25">
      <c r="A3" s="298" t="s">
        <v>253</v>
      </c>
      <c r="B3" s="298"/>
      <c r="C3" s="298"/>
      <c r="D3" s="298"/>
      <c r="E3" s="298"/>
      <c r="F3" s="298"/>
    </row>
    <row r="4" spans="1:6" ht="23.25">
      <c r="A4" s="127" t="s">
        <v>137</v>
      </c>
      <c r="B4" s="127" t="s">
        <v>138</v>
      </c>
      <c r="C4" s="128" t="s">
        <v>139</v>
      </c>
      <c r="D4" s="127" t="s">
        <v>140</v>
      </c>
      <c r="E4" s="129" t="s">
        <v>141</v>
      </c>
      <c r="F4" s="129" t="s">
        <v>142</v>
      </c>
    </row>
    <row r="5" spans="1:6" ht="23.25">
      <c r="A5" s="130">
        <v>1</v>
      </c>
      <c r="B5" s="131">
        <v>16233</v>
      </c>
      <c r="C5" s="132" t="s">
        <v>143</v>
      </c>
      <c r="D5" s="130" t="s">
        <v>415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144</v>
      </c>
      <c r="D6" s="130" t="s">
        <v>145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146</v>
      </c>
      <c r="D7" s="130" t="s">
        <v>147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148</v>
      </c>
      <c r="D8" s="130" t="s">
        <v>149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150</v>
      </c>
      <c r="D9" s="130" t="s">
        <v>151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152</v>
      </c>
      <c r="D10" s="130" t="s">
        <v>153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154</v>
      </c>
      <c r="D11" s="130" t="s">
        <v>155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156</v>
      </c>
      <c r="D12" s="130" t="s">
        <v>157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158</v>
      </c>
      <c r="D13" s="130" t="s">
        <v>159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160</v>
      </c>
      <c r="D14" s="130" t="s">
        <v>161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162</v>
      </c>
      <c r="D15" s="130" t="s">
        <v>163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164</v>
      </c>
      <c r="D16" s="130" t="s">
        <v>165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166</v>
      </c>
      <c r="D17" s="130" t="s">
        <v>167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168</v>
      </c>
      <c r="D18" s="130" t="s">
        <v>145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169</v>
      </c>
      <c r="D19" s="130" t="s">
        <v>170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171</v>
      </c>
      <c r="D20" s="130" t="s">
        <v>159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172</v>
      </c>
      <c r="D21" s="130" t="s">
        <v>173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174</v>
      </c>
      <c r="D22" s="130" t="s">
        <v>155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175</v>
      </c>
      <c r="D23" s="130" t="s">
        <v>176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177</v>
      </c>
      <c r="D24" s="130" t="s">
        <v>157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178</v>
      </c>
      <c r="D25" s="130" t="s">
        <v>179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180</v>
      </c>
      <c r="D26" s="130" t="s">
        <v>157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181</v>
      </c>
      <c r="D27" s="130" t="s">
        <v>182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183</v>
      </c>
      <c r="D28" s="130" t="s">
        <v>184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185</v>
      </c>
      <c r="D29" s="130" t="s">
        <v>186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187</v>
      </c>
      <c r="D30" s="130" t="s">
        <v>188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189</v>
      </c>
      <c r="D31" s="130" t="s">
        <v>179</v>
      </c>
      <c r="E31" s="133">
        <v>15000</v>
      </c>
      <c r="F31" s="133">
        <v>188</v>
      </c>
    </row>
    <row r="33" spans="1:6" ht="22.5" customHeight="1">
      <c r="A33" s="127" t="s">
        <v>137</v>
      </c>
      <c r="B33" s="127" t="s">
        <v>138</v>
      </c>
      <c r="C33" s="128" t="s">
        <v>139</v>
      </c>
      <c r="D33" s="127" t="s">
        <v>140</v>
      </c>
      <c r="E33" s="129" t="s">
        <v>141</v>
      </c>
      <c r="F33" s="129" t="s">
        <v>142</v>
      </c>
    </row>
    <row r="34" spans="1:6" ht="22.5" customHeight="1">
      <c r="A34" s="130">
        <v>28</v>
      </c>
      <c r="B34" s="131">
        <v>19283</v>
      </c>
      <c r="C34" s="132" t="s">
        <v>190</v>
      </c>
      <c r="D34" s="130" t="s">
        <v>191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192</v>
      </c>
      <c r="D35" s="130" t="s">
        <v>193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194</v>
      </c>
      <c r="D36" s="130" t="s">
        <v>195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196</v>
      </c>
      <c r="D37" s="130" t="s">
        <v>197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198</v>
      </c>
      <c r="D38" s="130" t="s">
        <v>199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200</v>
      </c>
      <c r="D39" s="130" t="s">
        <v>201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202</v>
      </c>
      <c r="D40" s="130" t="s">
        <v>191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203</v>
      </c>
      <c r="D41" s="130" t="s">
        <v>204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205</v>
      </c>
      <c r="D42" s="130" t="s">
        <v>182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206</v>
      </c>
      <c r="D43" s="130" t="s">
        <v>186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207</v>
      </c>
      <c r="D44" s="130" t="s">
        <v>208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209</v>
      </c>
      <c r="D45" s="130" t="s">
        <v>210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211</v>
      </c>
      <c r="D46" s="130" t="s">
        <v>212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213</v>
      </c>
      <c r="D47" s="130" t="s">
        <v>214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215</v>
      </c>
      <c r="D48" s="130" t="s">
        <v>216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217</v>
      </c>
      <c r="D49" s="130" t="s">
        <v>218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219</v>
      </c>
      <c r="D50" s="130" t="s">
        <v>220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332</v>
      </c>
      <c r="D51" s="130" t="s">
        <v>333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374</v>
      </c>
      <c r="D52" s="130" t="s">
        <v>375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376</v>
      </c>
      <c r="D53" s="130" t="s">
        <v>377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378</v>
      </c>
      <c r="D54" s="130" t="s">
        <v>379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380</v>
      </c>
      <c r="D55" s="130" t="s">
        <v>218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381</v>
      </c>
      <c r="D56" s="130" t="s">
        <v>369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370</v>
      </c>
      <c r="D57" s="130" t="s">
        <v>402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399</v>
      </c>
      <c r="D58" s="130" t="s">
        <v>506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372</v>
      </c>
      <c r="D59" s="130" t="s">
        <v>373</v>
      </c>
      <c r="E59" s="133">
        <v>24000</v>
      </c>
      <c r="F59" s="133">
        <v>150</v>
      </c>
    </row>
    <row r="60" spans="1:6" ht="22.5" customHeight="1" thickBot="1">
      <c r="A60" s="299" t="s">
        <v>19</v>
      </c>
      <c r="B60" s="300"/>
      <c r="C60" s="300"/>
      <c r="D60" s="301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297" t="s">
        <v>382</v>
      </c>
      <c r="B62" s="297"/>
      <c r="C62" s="297"/>
      <c r="D62" s="297"/>
      <c r="E62" s="297"/>
      <c r="F62" s="297"/>
    </row>
    <row r="63" spans="1:6" ht="22.5" customHeight="1">
      <c r="A63" s="297" t="s">
        <v>221</v>
      </c>
      <c r="B63" s="297"/>
      <c r="C63" s="297"/>
      <c r="D63" s="297"/>
      <c r="E63" s="297"/>
      <c r="F63" s="297"/>
    </row>
    <row r="64" spans="1:6" ht="22.5" customHeight="1">
      <c r="A64" s="297" t="s">
        <v>222</v>
      </c>
      <c r="B64" s="297"/>
      <c r="C64" s="297"/>
      <c r="D64" s="297"/>
      <c r="E64" s="297"/>
      <c r="F64" s="297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31">
      <selection activeCell="H9" sqref="H9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4" t="s">
        <v>541</v>
      </c>
      <c r="B1" s="294"/>
      <c r="C1" s="294"/>
    </row>
    <row r="2" spans="1:3" ht="23.25">
      <c r="A2" s="294" t="s">
        <v>363</v>
      </c>
      <c r="B2" s="294"/>
      <c r="C2" s="294"/>
    </row>
    <row r="3" spans="1:3" ht="23.25">
      <c r="A3" s="294" t="s">
        <v>254</v>
      </c>
      <c r="B3" s="294"/>
      <c r="C3" s="294"/>
    </row>
    <row r="4" spans="1:3" ht="19.5" customHeight="1">
      <c r="A4" s="171" t="s">
        <v>137</v>
      </c>
      <c r="B4" s="171" t="s">
        <v>138</v>
      </c>
      <c r="C4" s="173" t="s">
        <v>258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2" t="s">
        <v>19</v>
      </c>
      <c r="B32" s="303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5" t="s">
        <v>383</v>
      </c>
      <c r="B34" s="295"/>
      <c r="C34" s="295"/>
    </row>
    <row r="35" spans="1:3" ht="23.25">
      <c r="A35" s="304" t="s">
        <v>384</v>
      </c>
      <c r="B35" s="304"/>
      <c r="C35" s="304"/>
    </row>
    <row r="36" spans="1:3" ht="23.25">
      <c r="A36" s="292" t="s">
        <v>385</v>
      </c>
      <c r="B36" s="292"/>
      <c r="C36" s="292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8"/>
  <sheetViews>
    <sheetView view="pageBreakPreview" zoomScaleSheetLayoutView="100" zoomScalePageLayoutView="0" workbookViewId="0" topLeftCell="B139">
      <selection activeCell="E182" sqref="E182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1" t="s">
        <v>478</v>
      </c>
      <c r="F1" s="311"/>
      <c r="G1" s="311"/>
    </row>
    <row r="2" spans="1:7" ht="19.5" customHeight="1">
      <c r="A2" s="305" t="s">
        <v>20</v>
      </c>
      <c r="B2" s="305"/>
      <c r="C2" s="305"/>
      <c r="D2" s="305"/>
      <c r="E2" s="305"/>
      <c r="F2" s="305"/>
      <c r="G2" s="305"/>
    </row>
    <row r="3" spans="1:7" ht="19.5" customHeight="1">
      <c r="A3" s="305" t="s">
        <v>542</v>
      </c>
      <c r="B3" s="305"/>
      <c r="C3" s="305"/>
      <c r="D3" s="305"/>
      <c r="E3" s="305"/>
      <c r="F3" s="305"/>
      <c r="G3" s="305"/>
    </row>
    <row r="4" spans="1:7" ht="19.5" customHeight="1">
      <c r="A4" s="312" t="s">
        <v>21</v>
      </c>
      <c r="B4" s="313"/>
      <c r="C4" s="313"/>
      <c r="D4" s="314"/>
      <c r="E4" s="315" t="s">
        <v>24</v>
      </c>
      <c r="F4" s="231"/>
      <c r="G4" s="232" t="s">
        <v>70</v>
      </c>
    </row>
    <row r="5" spans="1:7" ht="19.5" customHeight="1">
      <c r="A5" s="232" t="s">
        <v>22</v>
      </c>
      <c r="B5" s="233" t="s">
        <v>424</v>
      </c>
      <c r="C5" s="233" t="s">
        <v>19</v>
      </c>
      <c r="D5" s="234" t="s">
        <v>23</v>
      </c>
      <c r="E5" s="316"/>
      <c r="F5" s="235" t="s">
        <v>25</v>
      </c>
      <c r="G5" s="236" t="s">
        <v>427</v>
      </c>
    </row>
    <row r="6" spans="1:7" ht="19.5" customHeight="1">
      <c r="A6" s="236" t="s">
        <v>28</v>
      </c>
      <c r="B6" s="237" t="s">
        <v>425</v>
      </c>
      <c r="C6" s="238" t="s">
        <v>28</v>
      </c>
      <c r="D6" s="239" t="s">
        <v>28</v>
      </c>
      <c r="E6" s="316"/>
      <c r="F6" s="235" t="s">
        <v>26</v>
      </c>
      <c r="G6" s="236" t="s">
        <v>428</v>
      </c>
    </row>
    <row r="7" spans="1:7" ht="19.5" customHeight="1">
      <c r="A7" s="240"/>
      <c r="B7" s="241" t="s">
        <v>426</v>
      </c>
      <c r="C7" s="241"/>
      <c r="D7" s="242"/>
      <c r="E7" s="317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35886206.15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</f>
        <v>545.0699999999999</v>
      </c>
      <c r="E9" s="218" t="s">
        <v>39</v>
      </c>
      <c r="F9" s="235" t="s">
        <v>341</v>
      </c>
      <c r="G9" s="244">
        <v>419.58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</f>
        <v>8338</v>
      </c>
      <c r="E10" s="218" t="s">
        <v>42</v>
      </c>
      <c r="F10" s="235" t="s">
        <v>342</v>
      </c>
      <c r="G10" s="244">
        <v>2292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</f>
        <v>59784.35</v>
      </c>
      <c r="E11" s="218" t="s">
        <v>44</v>
      </c>
      <c r="F11" s="235" t="s">
        <v>343</v>
      </c>
      <c r="G11" s="236">
        <v>50238.45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</f>
        <v>6000</v>
      </c>
      <c r="E12" s="218" t="s">
        <v>46</v>
      </c>
      <c r="F12" s="235" t="s">
        <v>344</v>
      </c>
      <c r="G12" s="236">
        <v>200</v>
      </c>
    </row>
    <row r="13" spans="1:7" ht="19.5" customHeight="1">
      <c r="A13" s="245">
        <v>500</v>
      </c>
      <c r="B13" s="245"/>
      <c r="C13" s="245">
        <f>500</f>
        <v>500</v>
      </c>
      <c r="D13" s="245"/>
      <c r="E13" s="218" t="s">
        <v>77</v>
      </c>
      <c r="F13" s="235" t="s">
        <v>345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</f>
        <v>3650475.3599999994</v>
      </c>
      <c r="E14" s="218" t="s">
        <v>48</v>
      </c>
      <c r="F14" s="235" t="s">
        <v>394</v>
      </c>
      <c r="G14" s="236">
        <v>1189193.64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</f>
        <v>2608471</v>
      </c>
      <c r="E15" s="218" t="s">
        <v>126</v>
      </c>
      <c r="F15" s="235" t="s">
        <v>347</v>
      </c>
      <c r="G15" s="236">
        <v>0</v>
      </c>
    </row>
    <row r="16" spans="1:7" ht="19.5" customHeight="1">
      <c r="A16" s="245"/>
      <c r="B16" s="247">
        <f>2480170+1713600</f>
        <v>4193770</v>
      </c>
      <c r="C16" s="245">
        <f>2480170+1713600</f>
        <v>4193770</v>
      </c>
      <c r="D16" s="247">
        <f>2480170+1713600</f>
        <v>4193770</v>
      </c>
      <c r="E16" s="218" t="s">
        <v>429</v>
      </c>
      <c r="F16" s="235" t="s">
        <v>474</v>
      </c>
      <c r="G16" s="236">
        <v>1713600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4193770</v>
      </c>
      <c r="C18" s="248">
        <f>SUM(C9:C17)</f>
        <v>27368320</v>
      </c>
      <c r="D18" s="248">
        <f>SUM(D9:D17)</f>
        <v>10527383.78</v>
      </c>
      <c r="E18" s="225" t="s">
        <v>19</v>
      </c>
      <c r="F18" s="249"/>
      <c r="G18" s="250">
        <f>SUM(G9:G17)</f>
        <v>2955943.67</v>
      </c>
    </row>
    <row r="19" spans="1:7" ht="19.5" customHeight="1">
      <c r="A19" s="251"/>
      <c r="B19" s="251"/>
      <c r="C19" s="251"/>
      <c r="D19" s="245">
        <f>1000+78000+14500</f>
        <v>93500</v>
      </c>
      <c r="E19" s="218" t="s">
        <v>417</v>
      </c>
      <c r="F19" s="235" t="s">
        <v>447</v>
      </c>
      <c r="G19" s="244">
        <v>14500</v>
      </c>
    </row>
    <row r="20" spans="1:7" ht="19.5" customHeight="1">
      <c r="A20" s="251"/>
      <c r="B20" s="251"/>
      <c r="C20" s="251"/>
      <c r="D20" s="245"/>
      <c r="E20" s="218" t="s">
        <v>118</v>
      </c>
      <c r="F20" s="235" t="s">
        <v>452</v>
      </c>
      <c r="G20" s="244"/>
    </row>
    <row r="21" spans="1:7" ht="19.5" customHeight="1">
      <c r="A21" s="251"/>
      <c r="B21" s="251"/>
      <c r="C21" s="251"/>
      <c r="D21" s="245">
        <f>493.06+209.15+235.85</f>
        <v>938.0600000000001</v>
      </c>
      <c r="E21" s="218" t="s">
        <v>338</v>
      </c>
      <c r="F21" s="235" t="s">
        <v>448</v>
      </c>
      <c r="G21" s="244">
        <v>235.85</v>
      </c>
    </row>
    <row r="22" spans="1:7" ht="19.5" customHeight="1">
      <c r="A22" s="251"/>
      <c r="B22" s="251"/>
      <c r="C22" s="251"/>
      <c r="D22" s="245">
        <f>1569410</f>
        <v>1569410</v>
      </c>
      <c r="E22" s="218" t="s">
        <v>458</v>
      </c>
      <c r="F22" s="235" t="s">
        <v>459</v>
      </c>
      <c r="G22" s="244">
        <v>0</v>
      </c>
    </row>
    <row r="23" spans="1:7" ht="19.5" customHeight="1">
      <c r="A23" s="251"/>
      <c r="B23" s="251"/>
      <c r="C23" s="251"/>
      <c r="D23" s="245">
        <f>785920+783490</f>
        <v>1569410</v>
      </c>
      <c r="E23" s="218" t="s">
        <v>460</v>
      </c>
      <c r="F23" s="235" t="s">
        <v>466</v>
      </c>
      <c r="G23" s="244">
        <v>0</v>
      </c>
    </row>
    <row r="24" spans="1:7" ht="19.5" customHeight="1">
      <c r="A24" s="251"/>
      <c r="B24" s="251"/>
      <c r="C24" s="251"/>
      <c r="D24" s="245">
        <f>124000+190000+186000</f>
        <v>500000</v>
      </c>
      <c r="E24" s="218" t="s">
        <v>451</v>
      </c>
      <c r="F24" s="235" t="s">
        <v>449</v>
      </c>
      <c r="G24" s="244">
        <v>186000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442</v>
      </c>
      <c r="G25" s="244"/>
    </row>
    <row r="26" spans="1:7" ht="19.5" customHeight="1">
      <c r="A26" s="245"/>
      <c r="B26" s="245"/>
      <c r="C26" s="245"/>
      <c r="D26" s="245">
        <f>9450</f>
        <v>9450</v>
      </c>
      <c r="E26" s="218" t="s">
        <v>467</v>
      </c>
      <c r="F26" s="235" t="s">
        <v>492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</f>
        <v>506280.89</v>
      </c>
      <c r="E27" s="218" t="s">
        <v>129</v>
      </c>
      <c r="F27" s="235" t="s">
        <v>453</v>
      </c>
      <c r="G27" s="244">
        <v>205869.41</v>
      </c>
    </row>
    <row r="28" spans="1:7" ht="19.5" customHeight="1">
      <c r="A28" s="252"/>
      <c r="B28" s="252"/>
      <c r="C28" s="252"/>
      <c r="D28" s="248">
        <f>SUM(D19:D27)</f>
        <v>4248988.95</v>
      </c>
      <c r="E28" s="225" t="s">
        <v>19</v>
      </c>
      <c r="F28" s="235"/>
      <c r="G28" s="250">
        <f>SUM(G19:G27)</f>
        <v>406605.26</v>
      </c>
    </row>
    <row r="29" spans="1:7" ht="19.5" customHeight="1">
      <c r="A29" s="244"/>
      <c r="B29" s="244"/>
      <c r="C29" s="244"/>
      <c r="D29" s="248">
        <f>SUM(D18+D28)</f>
        <v>14776372.73</v>
      </c>
      <c r="E29" s="225" t="s">
        <v>30</v>
      </c>
      <c r="F29" s="235"/>
      <c r="G29" s="250">
        <f>SUM(G18+G28)</f>
        <v>3362548.9299999997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v>698780</v>
      </c>
      <c r="B40" s="244"/>
      <c r="C40" s="244">
        <f>698780</f>
        <v>698780</v>
      </c>
      <c r="D40" s="258">
        <f>54652+155486+7752</f>
        <v>217890</v>
      </c>
      <c r="E40" s="218" t="s">
        <v>31</v>
      </c>
      <c r="F40" s="235" t="s">
        <v>439</v>
      </c>
      <c r="G40" s="258">
        <v>7752</v>
      </c>
    </row>
    <row r="41" spans="1:7" ht="16.5" customHeight="1">
      <c r="A41" s="244"/>
      <c r="B41" s="244">
        <v>1868400</v>
      </c>
      <c r="C41" s="244"/>
      <c r="D41" s="258">
        <f>611900+609600+606100</f>
        <v>1827600</v>
      </c>
      <c r="E41" s="218" t="s">
        <v>468</v>
      </c>
      <c r="F41" s="235" t="s">
        <v>439</v>
      </c>
      <c r="G41" s="258">
        <v>606100</v>
      </c>
    </row>
    <row r="42" spans="1:7" ht="16.5" customHeight="1">
      <c r="A42" s="244"/>
      <c r="B42" s="244">
        <v>468000</v>
      </c>
      <c r="C42" s="244"/>
      <c r="D42" s="258">
        <f>148000+147200+146400</f>
        <v>441600</v>
      </c>
      <c r="E42" s="218" t="s">
        <v>469</v>
      </c>
      <c r="F42" s="235" t="s">
        <v>439</v>
      </c>
      <c r="G42" s="258">
        <v>146400</v>
      </c>
    </row>
    <row r="43" spans="1:7" ht="16.5" customHeight="1">
      <c r="A43" s="244"/>
      <c r="B43" s="244">
        <v>1500</v>
      </c>
      <c r="C43" s="244"/>
      <c r="D43" s="258">
        <f>450+500+500</f>
        <v>1450</v>
      </c>
      <c r="E43" s="218" t="s">
        <v>470</v>
      </c>
      <c r="F43" s="235" t="s">
        <v>439</v>
      </c>
      <c r="G43" s="258">
        <v>500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</f>
        <v>707580</v>
      </c>
      <c r="E44" s="218" t="s">
        <v>334</v>
      </c>
      <c r="F44" s="235" t="s">
        <v>440</v>
      </c>
      <c r="G44" s="258">
        <v>235860</v>
      </c>
    </row>
    <row r="45" spans="1:7" ht="16.5" customHeight="1">
      <c r="A45" s="236">
        <v>4848400</v>
      </c>
      <c r="B45" s="236"/>
      <c r="C45" s="236">
        <f>4848400</f>
        <v>4848400</v>
      </c>
      <c r="D45" s="258">
        <f>361120+359990+359990</f>
        <v>1081100</v>
      </c>
      <c r="E45" s="218" t="s">
        <v>335</v>
      </c>
      <c r="F45" s="235" t="s">
        <v>441</v>
      </c>
      <c r="G45" s="258">
        <v>359990</v>
      </c>
    </row>
    <row r="46" spans="1:7" ht="16.5" customHeight="1">
      <c r="A46" s="236"/>
      <c r="B46" s="236">
        <v>48570</v>
      </c>
      <c r="C46" s="236"/>
      <c r="D46" s="258">
        <f>16570+15810+16190</f>
        <v>48570</v>
      </c>
      <c r="E46" s="218" t="s">
        <v>475</v>
      </c>
      <c r="F46" s="235" t="s">
        <v>441</v>
      </c>
      <c r="G46" s="258">
        <v>16190</v>
      </c>
    </row>
    <row r="47" spans="1:7" ht="16.5" customHeight="1">
      <c r="A47" s="259">
        <v>182000</v>
      </c>
      <c r="B47" s="259"/>
      <c r="C47" s="259">
        <f>182000</f>
        <v>182000</v>
      </c>
      <c r="D47" s="258">
        <f>13285+13285+13285</f>
        <v>39855</v>
      </c>
      <c r="E47" s="218" t="s">
        <v>336</v>
      </c>
      <c r="F47" s="235" t="s">
        <v>441</v>
      </c>
      <c r="G47" s="258">
        <v>13285</v>
      </c>
    </row>
    <row r="48" spans="1:7" ht="16.5" customHeight="1">
      <c r="A48" s="244">
        <v>1792000</v>
      </c>
      <c r="B48" s="244"/>
      <c r="C48" s="244">
        <f>1792000</f>
        <v>1792000</v>
      </c>
      <c r="D48" s="258">
        <f>117670+117670+117670</f>
        <v>353010</v>
      </c>
      <c r="E48" s="218" t="s">
        <v>337</v>
      </c>
      <c r="F48" s="235" t="s">
        <v>441</v>
      </c>
      <c r="G48" s="258">
        <v>117670</v>
      </c>
    </row>
    <row r="49" spans="1:7" ht="16.5" customHeight="1">
      <c r="A49" s="244"/>
      <c r="B49" s="244">
        <v>30000</v>
      </c>
      <c r="C49" s="244"/>
      <c r="D49" s="258">
        <f>9000+10000+10000</f>
        <v>29000</v>
      </c>
      <c r="E49" s="218" t="s">
        <v>476</v>
      </c>
      <c r="F49" s="235" t="s">
        <v>441</v>
      </c>
      <c r="G49" s="258">
        <v>10000</v>
      </c>
    </row>
    <row r="50" spans="1:7" ht="16.5" customHeight="1">
      <c r="A50" s="244">
        <v>1014000</v>
      </c>
      <c r="B50" s="244"/>
      <c r="C50" s="244">
        <f>1014000</f>
        <v>1014000</v>
      </c>
      <c r="D50" s="258">
        <f>33160+36531+23500</f>
        <v>93191</v>
      </c>
      <c r="E50" s="218" t="s">
        <v>6</v>
      </c>
      <c r="F50" s="235" t="s">
        <v>442</v>
      </c>
      <c r="G50" s="258">
        <v>23500</v>
      </c>
    </row>
    <row r="51" spans="1:7" ht="16.5" customHeight="1">
      <c r="A51" s="244">
        <v>3217600</v>
      </c>
      <c r="B51" s="244"/>
      <c r="C51" s="244">
        <f>3217600</f>
        <v>3217600</v>
      </c>
      <c r="D51" s="258">
        <f>18904+240248.7+95004.04</f>
        <v>354156.74</v>
      </c>
      <c r="E51" s="218" t="s">
        <v>7</v>
      </c>
      <c r="F51" s="235" t="s">
        <v>362</v>
      </c>
      <c r="G51" s="258">
        <v>95004.04</v>
      </c>
    </row>
    <row r="52" spans="1:7" ht="16.5" customHeight="1">
      <c r="A52" s="244"/>
      <c r="B52" s="244">
        <v>63700</v>
      </c>
      <c r="C52" s="244"/>
      <c r="D52" s="258"/>
      <c r="E52" s="218" t="s">
        <v>519</v>
      </c>
      <c r="F52" s="235" t="s">
        <v>362</v>
      </c>
      <c r="G52" s="258">
        <v>0</v>
      </c>
    </row>
    <row r="53" spans="1:7" ht="16.5" customHeight="1">
      <c r="A53" s="244">
        <v>1814570</v>
      </c>
      <c r="B53" s="244"/>
      <c r="C53" s="244">
        <f>1814570</f>
        <v>1814570</v>
      </c>
      <c r="D53" s="258">
        <f>25396+9605+122230.62</f>
        <v>157231.62</v>
      </c>
      <c r="E53" s="218" t="s">
        <v>8</v>
      </c>
      <c r="F53" s="235" t="s">
        <v>443</v>
      </c>
      <c r="G53" s="258">
        <v>122230.62</v>
      </c>
    </row>
    <row r="54" spans="1:7" ht="16.5" customHeight="1">
      <c r="A54" s="244">
        <v>376000</v>
      </c>
      <c r="B54" s="244"/>
      <c r="C54" s="244">
        <f>376000</f>
        <v>376000</v>
      </c>
      <c r="D54" s="258">
        <f>22325.18+21398.69+35586.46</f>
        <v>79310.32999999999</v>
      </c>
      <c r="E54" s="218" t="s">
        <v>9</v>
      </c>
      <c r="F54" s="235" t="s">
        <v>444</v>
      </c>
      <c r="G54" s="258">
        <v>35586.46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</f>
        <v>53287.27</v>
      </c>
      <c r="E55" s="218" t="s">
        <v>54</v>
      </c>
      <c r="F55" s="235" t="s">
        <v>445</v>
      </c>
      <c r="G55" s="258">
        <v>5520</v>
      </c>
    </row>
    <row r="56" spans="1:7" ht="16.5" customHeight="1">
      <c r="A56" s="244">
        <v>2928000</v>
      </c>
      <c r="B56" s="244"/>
      <c r="C56" s="244">
        <f>2928000</f>
        <v>2928000</v>
      </c>
      <c r="D56" s="258"/>
      <c r="E56" s="218" t="s">
        <v>55</v>
      </c>
      <c r="F56" s="235" t="s">
        <v>346</v>
      </c>
      <c r="G56" s="258"/>
    </row>
    <row r="57" spans="1:7" ht="16.5" customHeight="1">
      <c r="A57" s="244">
        <v>2305000</v>
      </c>
      <c r="B57" s="244"/>
      <c r="C57" s="244">
        <v>2305000</v>
      </c>
      <c r="D57" s="258">
        <f>384580</f>
        <v>384580</v>
      </c>
      <c r="E57" s="218" t="s">
        <v>32</v>
      </c>
      <c r="F57" s="235" t="s">
        <v>446</v>
      </c>
      <c r="G57" s="258">
        <v>0</v>
      </c>
    </row>
    <row r="58" spans="1:7" ht="16.5" customHeight="1">
      <c r="A58" s="244"/>
      <c r="B58" s="244"/>
      <c r="C58" s="244"/>
      <c r="D58" s="258"/>
      <c r="E58" s="218"/>
      <c r="F58" s="235"/>
      <c r="G58" s="258"/>
    </row>
    <row r="59" spans="1:7" ht="16.5" customHeight="1">
      <c r="A59" s="250">
        <f>SUM(A40:A58)</f>
        <v>23174550</v>
      </c>
      <c r="B59" s="250">
        <f>SUM(B41:B57)</f>
        <v>2480170</v>
      </c>
      <c r="C59" s="250">
        <f>SUM(C40:C58)</f>
        <v>23174550</v>
      </c>
      <c r="D59" s="260">
        <f>SUM(D40:D58)</f>
        <v>5869411.96</v>
      </c>
      <c r="E59" s="225" t="s">
        <v>19</v>
      </c>
      <c r="F59" s="235"/>
      <c r="G59" s="250">
        <f>SUM(G40:G58)</f>
        <v>1795588.12</v>
      </c>
    </row>
    <row r="60" spans="1:7" ht="15.75" customHeight="1">
      <c r="A60" s="244"/>
      <c r="B60" s="244"/>
      <c r="C60" s="244"/>
      <c r="D60" s="258">
        <f>10400+77000+13900</f>
        <v>101300</v>
      </c>
      <c r="E60" s="218" t="s">
        <v>417</v>
      </c>
      <c r="F60" s="235" t="s">
        <v>447</v>
      </c>
      <c r="G60" s="244">
        <v>13900</v>
      </c>
    </row>
    <row r="61" spans="1:7" ht="16.5" customHeight="1">
      <c r="A61" s="244"/>
      <c r="B61" s="244"/>
      <c r="C61" s="244"/>
      <c r="D61" s="245">
        <f>785920+783490</f>
        <v>1569410</v>
      </c>
      <c r="E61" s="218" t="s">
        <v>458</v>
      </c>
      <c r="F61" s="235" t="s">
        <v>459</v>
      </c>
      <c r="G61" s="244">
        <v>0</v>
      </c>
    </row>
    <row r="62" spans="1:7" ht="16.5" customHeight="1">
      <c r="A62" s="244"/>
      <c r="B62" s="244"/>
      <c r="C62" s="244"/>
      <c r="D62" s="245">
        <f>1569410</f>
        <v>1569410</v>
      </c>
      <c r="E62" s="218" t="s">
        <v>460</v>
      </c>
      <c r="F62" s="235" t="s">
        <v>461</v>
      </c>
      <c r="G62" s="244">
        <v>0</v>
      </c>
    </row>
    <row r="63" spans="1:7" ht="16.5" customHeight="1">
      <c r="A63" s="244"/>
      <c r="B63" s="244"/>
      <c r="C63" s="244"/>
      <c r="D63" s="258">
        <f>154000+40000+376000</f>
        <v>570000</v>
      </c>
      <c r="E63" s="218" t="s">
        <v>451</v>
      </c>
      <c r="F63" s="235" t="s">
        <v>449</v>
      </c>
      <c r="G63" s="258">
        <v>376000</v>
      </c>
    </row>
    <row r="64" spans="1:7" ht="16.5" customHeight="1">
      <c r="A64" s="244"/>
      <c r="B64" s="244"/>
      <c r="C64" s="244"/>
      <c r="D64" s="258">
        <f>231482.61+22255.07+286867.84</f>
        <v>540605.52</v>
      </c>
      <c r="E64" s="218" t="s">
        <v>135</v>
      </c>
      <c r="F64" s="235" t="s">
        <v>453</v>
      </c>
      <c r="G64" s="258">
        <v>286867.84</v>
      </c>
    </row>
    <row r="65" spans="1:7" ht="16.5" customHeight="1">
      <c r="A65" s="244"/>
      <c r="B65" s="244"/>
      <c r="C65" s="244"/>
      <c r="D65" s="258">
        <f>399873.04+193068</f>
        <v>592941.04</v>
      </c>
      <c r="E65" s="218" t="s">
        <v>418</v>
      </c>
      <c r="F65" s="235" t="s">
        <v>454</v>
      </c>
      <c r="G65" s="258">
        <v>193068</v>
      </c>
    </row>
    <row r="66" spans="1:7" ht="16.5" customHeight="1">
      <c r="A66" s="244"/>
      <c r="B66" s="244"/>
      <c r="C66" s="244"/>
      <c r="D66" s="258">
        <f>964000</f>
        <v>964000</v>
      </c>
      <c r="E66" s="218" t="s">
        <v>10</v>
      </c>
      <c r="F66" s="235" t="s">
        <v>442</v>
      </c>
      <c r="G66" s="258">
        <v>964000</v>
      </c>
    </row>
    <row r="67" spans="1:7" ht="16.5" customHeight="1">
      <c r="A67" s="244"/>
      <c r="B67" s="244"/>
      <c r="C67" s="244"/>
      <c r="D67" s="258"/>
      <c r="E67" s="218"/>
      <c r="F67" s="235"/>
      <c r="G67" s="258"/>
    </row>
    <row r="68" spans="1:7" ht="16.5" customHeight="1">
      <c r="A68" s="244"/>
      <c r="B68" s="244"/>
      <c r="C68" s="244"/>
      <c r="D68" s="258"/>
      <c r="E68" s="218"/>
      <c r="F68" s="235"/>
      <c r="G68" s="258"/>
    </row>
    <row r="69" spans="1:7" ht="16.5" customHeight="1">
      <c r="A69" s="244"/>
      <c r="B69" s="244"/>
      <c r="C69" s="244"/>
      <c r="D69" s="258"/>
      <c r="E69" s="219"/>
      <c r="F69" s="235"/>
      <c r="G69" s="258"/>
    </row>
    <row r="70" spans="1:7" ht="16.5" customHeight="1">
      <c r="A70" s="244"/>
      <c r="B70" s="244"/>
      <c r="C70" s="244"/>
      <c r="D70" s="248">
        <f>SUM(D60:D69)</f>
        <v>5907666.56</v>
      </c>
      <c r="E70" s="225" t="s">
        <v>19</v>
      </c>
      <c r="F70" s="235"/>
      <c r="G70" s="250">
        <f>SUM(G60:G69)</f>
        <v>1833835.84</v>
      </c>
    </row>
    <row r="71" spans="1:7" ht="16.5" customHeight="1">
      <c r="A71" s="244"/>
      <c r="B71" s="244"/>
      <c r="C71" s="244"/>
      <c r="D71" s="243">
        <f>SUM(D70,D59)</f>
        <v>11777078.52</v>
      </c>
      <c r="E71" s="225" t="s">
        <v>430</v>
      </c>
      <c r="F71" s="235"/>
      <c r="G71" s="243">
        <f>SUM(G70,G59)</f>
        <v>3629423.96</v>
      </c>
    </row>
    <row r="72" spans="1:7" ht="16.5" customHeight="1">
      <c r="A72" s="244"/>
      <c r="B72" s="244"/>
      <c r="C72" s="244"/>
      <c r="D72" s="248">
        <f>SUM(D29-D71)</f>
        <v>2999294.210000001</v>
      </c>
      <c r="E72" s="225" t="s">
        <v>431</v>
      </c>
      <c r="F72" s="235"/>
      <c r="G72" s="250">
        <f>SUM(G29-G71)</f>
        <v>-266875.03000000026</v>
      </c>
    </row>
    <row r="73" spans="1:7" ht="16.5" customHeight="1" thickBot="1">
      <c r="A73" s="261"/>
      <c r="B73" s="244"/>
      <c r="C73" s="244"/>
      <c r="D73" s="262">
        <f>D8+D72</f>
        <v>35619331.120000005</v>
      </c>
      <c r="E73" s="223" t="s">
        <v>432</v>
      </c>
      <c r="F73" s="263"/>
      <c r="G73" s="262">
        <f>G8+G72</f>
        <v>35619331.12</v>
      </c>
    </row>
    <row r="74" spans="1:7" ht="16.5" customHeight="1" thickTop="1">
      <c r="A74" s="253"/>
      <c r="B74" s="253"/>
      <c r="C74" s="253"/>
      <c r="D74" s="254"/>
      <c r="E74" s="222"/>
      <c r="F74" s="255"/>
      <c r="G74" s="254"/>
    </row>
    <row r="75" spans="1:7" ht="16.5" customHeight="1">
      <c r="A75" s="253"/>
      <c r="B75" s="253"/>
      <c r="C75" s="253"/>
      <c r="D75" s="254"/>
      <c r="E75" s="222"/>
      <c r="F75" s="255"/>
      <c r="G75" s="254"/>
    </row>
    <row r="76" spans="1:7" ht="16.5" customHeight="1">
      <c r="A76" s="253"/>
      <c r="B76" s="253"/>
      <c r="C76" s="253"/>
      <c r="D76" s="254"/>
      <c r="E76" s="222"/>
      <c r="F76" s="255"/>
      <c r="G76" s="254"/>
    </row>
    <row r="77" spans="1:7" ht="16.5" customHeight="1">
      <c r="A77" s="253"/>
      <c r="B77" s="253"/>
      <c r="C77" s="253"/>
      <c r="D77" s="254"/>
      <c r="E77" s="222"/>
      <c r="F77" s="255"/>
      <c r="G77" s="254"/>
    </row>
    <row r="78" spans="1:7" ht="16.5" customHeight="1">
      <c r="A78" s="253"/>
      <c r="B78" s="253"/>
      <c r="C78" s="253"/>
      <c r="D78" s="254"/>
      <c r="E78" s="222"/>
      <c r="F78" s="255"/>
      <c r="G78" s="254"/>
    </row>
    <row r="79" spans="1:7" ht="16.5" customHeight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18" t="s">
        <v>12</v>
      </c>
      <c r="B85" s="218"/>
      <c r="C85" s="218"/>
      <c r="D85" s="264"/>
      <c r="E85" s="224"/>
      <c r="F85" s="224"/>
      <c r="G85" s="224"/>
    </row>
    <row r="86" spans="1:7" ht="16.5" customHeight="1">
      <c r="A86" s="265" t="s">
        <v>13</v>
      </c>
      <c r="B86" s="265"/>
      <c r="C86" s="265"/>
      <c r="D86" s="264"/>
      <c r="E86" s="224"/>
      <c r="F86" s="224"/>
      <c r="G86" s="266"/>
    </row>
    <row r="87" spans="1:7" ht="16.5" customHeight="1">
      <c r="A87" s="265"/>
      <c r="B87" s="265"/>
      <c r="C87" s="265"/>
      <c r="D87" s="264"/>
      <c r="E87" s="224"/>
      <c r="F87" s="224"/>
      <c r="G87" s="266"/>
    </row>
    <row r="88" spans="1:7" ht="16.5" customHeight="1">
      <c r="A88" s="265"/>
      <c r="B88" s="265"/>
      <c r="C88" s="265"/>
      <c r="D88" s="264"/>
      <c r="E88" s="224"/>
      <c r="F88" s="224"/>
      <c r="G88" s="266"/>
    </row>
    <row r="89" spans="1:7" ht="16.5" customHeight="1">
      <c r="A89" s="310" t="s">
        <v>16</v>
      </c>
      <c r="B89" s="310"/>
      <c r="C89" s="310"/>
      <c r="D89" s="310"/>
      <c r="E89" s="310"/>
      <c r="F89" s="310"/>
      <c r="G89" s="310"/>
    </row>
    <row r="90" spans="1:7" ht="16.5" customHeight="1">
      <c r="A90" s="310" t="s">
        <v>90</v>
      </c>
      <c r="B90" s="310"/>
      <c r="C90" s="310"/>
      <c r="D90" s="310"/>
      <c r="E90" s="310"/>
      <c r="F90" s="310"/>
      <c r="G90" s="310"/>
    </row>
    <row r="91" spans="1:7" ht="16.5" customHeight="1">
      <c r="A91" s="225"/>
      <c r="B91" s="225"/>
      <c r="C91" s="225"/>
      <c r="D91" s="225"/>
      <c r="E91" s="225"/>
      <c r="F91" s="225"/>
      <c r="G91" s="225"/>
    </row>
    <row r="92" spans="1:7" ht="16.5" customHeight="1">
      <c r="A92" s="310" t="s">
        <v>14</v>
      </c>
      <c r="B92" s="310"/>
      <c r="C92" s="310"/>
      <c r="D92" s="310"/>
      <c r="E92" s="310"/>
      <c r="F92" s="310"/>
      <c r="G92" s="310"/>
    </row>
    <row r="93" spans="1:7" ht="16.5" customHeight="1">
      <c r="A93" s="225"/>
      <c r="B93" s="225"/>
      <c r="C93" s="225"/>
      <c r="D93" s="225"/>
      <c r="E93" s="225"/>
      <c r="F93" s="225"/>
      <c r="G93" s="225"/>
    </row>
    <row r="94" spans="1:7" ht="16.5" customHeight="1">
      <c r="A94" s="225"/>
      <c r="B94" s="225"/>
      <c r="C94" s="225"/>
      <c r="D94" s="225"/>
      <c r="E94" s="225"/>
      <c r="F94" s="225"/>
      <c r="G94" s="225"/>
    </row>
    <row r="95" spans="1:7" ht="16.5" customHeight="1">
      <c r="A95" s="310" t="s">
        <v>125</v>
      </c>
      <c r="B95" s="310"/>
      <c r="C95" s="310"/>
      <c r="D95" s="310"/>
      <c r="E95" s="310"/>
      <c r="F95" s="310"/>
      <c r="G95" s="310"/>
    </row>
    <row r="96" spans="1:7" ht="16.5" customHeight="1">
      <c r="A96" s="310" t="s">
        <v>15</v>
      </c>
      <c r="B96" s="310"/>
      <c r="C96" s="310"/>
      <c r="D96" s="310"/>
      <c r="E96" s="310"/>
      <c r="F96" s="310"/>
      <c r="G96" s="310"/>
    </row>
    <row r="97" spans="1:7" ht="16.5" customHeight="1">
      <c r="A97" s="307">
        <v>240696</v>
      </c>
      <c r="B97" s="307"/>
      <c r="C97" s="307"/>
      <c r="D97" s="307"/>
      <c r="E97" s="307"/>
      <c r="F97" s="307"/>
      <c r="G97" s="307"/>
    </row>
    <row r="98" spans="1:7" ht="18" customHeight="1">
      <c r="A98" s="226"/>
      <c r="B98" s="226"/>
      <c r="C98" s="226"/>
      <c r="D98" s="226"/>
      <c r="E98" s="226"/>
      <c r="F98" s="226"/>
      <c r="G98" s="226"/>
    </row>
    <row r="99" spans="1:7" ht="18" customHeight="1">
      <c r="A99" s="226"/>
      <c r="B99" s="226"/>
      <c r="C99" s="226"/>
      <c r="D99" s="226"/>
      <c r="E99" s="226"/>
      <c r="F99" s="226"/>
      <c r="G99" s="226"/>
    </row>
    <row r="100" spans="1:7" ht="18" customHeight="1">
      <c r="A100" s="226"/>
      <c r="B100" s="226"/>
      <c r="C100" s="226"/>
      <c r="D100" s="226"/>
      <c r="E100" s="226"/>
      <c r="F100" s="226"/>
      <c r="G100" s="226"/>
    </row>
    <row r="101" spans="1:7" ht="18" customHeight="1">
      <c r="A101" s="226"/>
      <c r="B101" s="226"/>
      <c r="C101" s="226"/>
      <c r="D101" s="226"/>
      <c r="E101" s="226"/>
      <c r="F101" s="226"/>
      <c r="G101" s="226"/>
    </row>
    <row r="102" spans="1:7" ht="18" customHeight="1">
      <c r="A102" s="226"/>
      <c r="B102" s="226"/>
      <c r="C102" s="226"/>
      <c r="D102" s="226"/>
      <c r="E102" s="226"/>
      <c r="F102" s="226"/>
      <c r="G102" s="226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07" t="s">
        <v>64</v>
      </c>
      <c r="B127" s="307"/>
      <c r="C127" s="307"/>
      <c r="D127" s="307"/>
      <c r="E127" s="307"/>
      <c r="F127" s="307"/>
      <c r="G127" s="307"/>
    </row>
    <row r="128" spans="1:7" ht="19.5" customHeight="1">
      <c r="A128" s="308" t="s">
        <v>433</v>
      </c>
      <c r="B128" s="308"/>
      <c r="C128" s="308"/>
      <c r="D128" s="308"/>
      <c r="E128" s="308"/>
      <c r="F128" s="308"/>
      <c r="G128" s="308"/>
    </row>
    <row r="129" spans="1:7" ht="19.5" customHeight="1">
      <c r="A129" s="308" t="s">
        <v>520</v>
      </c>
      <c r="B129" s="308"/>
      <c r="C129" s="308"/>
      <c r="D129" s="308"/>
      <c r="E129" s="308"/>
      <c r="F129" s="308"/>
      <c r="G129" s="308"/>
    </row>
    <row r="130" spans="1:7" ht="19.5" customHeight="1">
      <c r="A130" s="309" t="s">
        <v>434</v>
      </c>
      <c r="B130" s="309"/>
      <c r="C130" s="309"/>
      <c r="D130" s="309"/>
      <c r="E130" s="309"/>
      <c r="F130" s="309"/>
      <c r="G130" s="309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70</v>
      </c>
    </row>
    <row r="132" spans="1:7" ht="19.5" customHeight="1">
      <c r="A132" s="306" t="s">
        <v>127</v>
      </c>
      <c r="B132" s="306"/>
      <c r="C132" s="306"/>
      <c r="D132" s="306"/>
      <c r="E132" s="227"/>
      <c r="F132" s="227"/>
      <c r="G132" s="223">
        <v>12445.84</v>
      </c>
    </row>
    <row r="133" spans="1:7" ht="19.5" customHeight="1">
      <c r="A133" s="306" t="s">
        <v>17</v>
      </c>
      <c r="B133" s="306"/>
      <c r="C133" s="228"/>
      <c r="D133" s="228"/>
      <c r="E133" s="227"/>
      <c r="F133" s="227"/>
      <c r="G133" s="223">
        <v>166890</v>
      </c>
    </row>
    <row r="134" spans="1:7" ht="19.5" customHeight="1">
      <c r="A134" s="228" t="s">
        <v>365</v>
      </c>
      <c r="B134" s="228"/>
      <c r="C134" s="228"/>
      <c r="D134" s="228"/>
      <c r="E134" s="227"/>
      <c r="F134" s="227"/>
      <c r="G134" s="223">
        <v>14.35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17.22</v>
      </c>
    </row>
    <row r="136" spans="1:7" ht="19.5" customHeight="1">
      <c r="A136" s="267" t="s">
        <v>390</v>
      </c>
      <c r="B136" s="267"/>
      <c r="C136" s="267"/>
      <c r="D136" s="218"/>
      <c r="E136" s="218"/>
      <c r="F136" s="264"/>
      <c r="G136" s="253">
        <v>6252</v>
      </c>
    </row>
    <row r="137" spans="1:7" ht="19.5" customHeight="1">
      <c r="A137" s="288" t="s">
        <v>522</v>
      </c>
      <c r="B137" s="288"/>
      <c r="C137" s="267"/>
      <c r="D137" s="218"/>
      <c r="E137" s="218"/>
      <c r="F137" s="264"/>
      <c r="G137" s="253">
        <v>20000</v>
      </c>
    </row>
    <row r="138" spans="1:7" ht="19.5" customHeight="1">
      <c r="A138" s="306" t="s">
        <v>403</v>
      </c>
      <c r="B138" s="306"/>
      <c r="C138" s="267"/>
      <c r="D138" s="218"/>
      <c r="E138" s="218"/>
      <c r="F138" s="264"/>
      <c r="G138" s="253">
        <v>250</v>
      </c>
    </row>
    <row r="139" spans="1:7" ht="19.5" customHeight="1">
      <c r="A139" s="306"/>
      <c r="B139" s="306"/>
      <c r="C139" s="306"/>
      <c r="D139" s="218"/>
      <c r="E139" s="218"/>
      <c r="F139" s="264"/>
      <c r="G139" s="253"/>
    </row>
    <row r="140" spans="1:7" ht="19.5" customHeight="1" thickBot="1">
      <c r="A140" s="306"/>
      <c r="B140" s="306"/>
      <c r="C140" s="306"/>
      <c r="D140" s="218"/>
      <c r="E140" s="218"/>
      <c r="F140" s="264" t="s">
        <v>19</v>
      </c>
      <c r="G140" s="274">
        <f>SUM(G132:G139)</f>
        <v>205869.41</v>
      </c>
    </row>
    <row r="141" spans="1:7" ht="19.5" customHeight="1" thickTop="1">
      <c r="A141" s="306"/>
      <c r="B141" s="306"/>
      <c r="C141" s="306"/>
      <c r="D141" s="218"/>
      <c r="E141" s="218"/>
      <c r="F141" s="264"/>
      <c r="G141" s="253"/>
    </row>
    <row r="142" spans="1:7" ht="19.5" customHeight="1">
      <c r="A142" s="227"/>
      <c r="B142" s="227"/>
      <c r="C142" s="227"/>
      <c r="D142" s="227"/>
      <c r="E142" s="218"/>
      <c r="F142" s="264"/>
      <c r="G142" s="268"/>
    </row>
    <row r="143" spans="1:7" ht="19.5" customHeight="1">
      <c r="A143" s="307" t="s">
        <v>64</v>
      </c>
      <c r="B143" s="307"/>
      <c r="C143" s="307"/>
      <c r="D143" s="307"/>
      <c r="E143" s="307"/>
      <c r="F143" s="307"/>
      <c r="G143" s="307"/>
    </row>
    <row r="144" spans="1:7" ht="19.5" customHeight="1">
      <c r="A144" s="308" t="s">
        <v>433</v>
      </c>
      <c r="B144" s="308"/>
      <c r="C144" s="308"/>
      <c r="D144" s="308"/>
      <c r="E144" s="308"/>
      <c r="F144" s="308"/>
      <c r="G144" s="308"/>
    </row>
    <row r="145" spans="1:7" ht="19.5" customHeight="1">
      <c r="A145" s="308" t="s">
        <v>520</v>
      </c>
      <c r="B145" s="308"/>
      <c r="C145" s="308"/>
      <c r="D145" s="308"/>
      <c r="E145" s="308"/>
      <c r="F145" s="308"/>
      <c r="G145" s="308"/>
    </row>
    <row r="146" spans="1:7" ht="19.5" customHeight="1">
      <c r="A146" s="309" t="s">
        <v>435</v>
      </c>
      <c r="B146" s="309"/>
      <c r="C146" s="309"/>
      <c r="D146" s="309"/>
      <c r="E146" s="309"/>
      <c r="F146" s="309"/>
      <c r="G146" s="309"/>
    </row>
    <row r="147" spans="1:7" ht="19.5" customHeight="1">
      <c r="A147" s="269"/>
      <c r="B147" s="269"/>
      <c r="C147" s="269"/>
      <c r="D147" s="269"/>
      <c r="E147" s="269"/>
      <c r="F147" s="269"/>
      <c r="G147" s="227" t="s">
        <v>70</v>
      </c>
    </row>
    <row r="148" spans="1:7" ht="19.5" customHeight="1">
      <c r="A148" s="306" t="s">
        <v>127</v>
      </c>
      <c r="B148" s="306"/>
      <c r="C148" s="306"/>
      <c r="D148" s="306"/>
      <c r="E148" s="227"/>
      <c r="F148" s="227"/>
      <c r="G148" s="223">
        <v>12445.84</v>
      </c>
    </row>
    <row r="149" spans="1:7" ht="19.5" customHeight="1">
      <c r="A149" s="228" t="s">
        <v>514</v>
      </c>
      <c r="B149" s="228"/>
      <c r="C149" s="228"/>
      <c r="D149" s="228"/>
      <c r="E149" s="227"/>
      <c r="F149" s="227"/>
      <c r="G149" s="223">
        <v>267770</v>
      </c>
    </row>
    <row r="150" spans="1:7" ht="19.5" customHeight="1">
      <c r="A150" s="228" t="s">
        <v>390</v>
      </c>
      <c r="B150" s="228"/>
      <c r="C150" s="228"/>
      <c r="D150" s="228"/>
      <c r="E150" s="227"/>
      <c r="F150" s="227"/>
      <c r="G150" s="223">
        <v>6252</v>
      </c>
    </row>
    <row r="151" spans="1:7" ht="19.5" customHeight="1">
      <c r="A151" s="306" t="s">
        <v>548</v>
      </c>
      <c r="B151" s="306"/>
      <c r="C151" s="228"/>
      <c r="D151" s="228"/>
      <c r="E151" s="227"/>
      <c r="F151" s="227"/>
      <c r="G151" s="223">
        <v>400</v>
      </c>
    </row>
    <row r="152" spans="1:7" ht="19.5" customHeight="1">
      <c r="A152" s="306" t="s">
        <v>403</v>
      </c>
      <c r="B152" s="306"/>
      <c r="C152" s="306"/>
      <c r="D152" s="306"/>
      <c r="E152" s="227"/>
      <c r="F152" s="227"/>
      <c r="G152" s="277">
        <v>0</v>
      </c>
    </row>
    <row r="153" spans="1:7" ht="19.5" customHeight="1" thickBot="1">
      <c r="A153" s="227"/>
      <c r="B153" s="227"/>
      <c r="C153" s="227"/>
      <c r="D153" s="227"/>
      <c r="E153" s="227"/>
      <c r="F153" s="227" t="s">
        <v>19</v>
      </c>
      <c r="G153" s="275">
        <f>SUM(G148:G152)</f>
        <v>286867.84</v>
      </c>
    </row>
    <row r="154" spans="1:7" ht="19.5" customHeight="1" thickTop="1">
      <c r="A154" s="305"/>
      <c r="B154" s="305"/>
      <c r="C154" s="305"/>
      <c r="D154" s="305"/>
      <c r="E154" s="305"/>
      <c r="F154" s="305"/>
      <c r="G154" s="305"/>
    </row>
    <row r="155" spans="1:7" ht="19.5" customHeight="1">
      <c r="A155" s="305"/>
      <c r="B155" s="305"/>
      <c r="C155" s="305"/>
      <c r="D155" s="305"/>
      <c r="E155" s="305"/>
      <c r="F155" s="305"/>
      <c r="G155" s="305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/>
      <c r="F159" s="227"/>
      <c r="G159" s="223"/>
    </row>
    <row r="160" spans="1:7" ht="19.5" customHeight="1">
      <c r="A160" s="228"/>
      <c r="B160" s="228"/>
      <c r="C160" s="228"/>
      <c r="D160" s="228"/>
      <c r="E160" s="227" t="s">
        <v>493</v>
      </c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8"/>
      <c r="E162" s="227"/>
      <c r="F162" s="227"/>
      <c r="G162" s="223"/>
    </row>
    <row r="163" spans="1:7" ht="19.5" customHeight="1">
      <c r="A163" s="228"/>
      <c r="B163" s="228"/>
      <c r="C163" s="228"/>
      <c r="D163" s="223"/>
      <c r="E163" s="223"/>
      <c r="F163" s="223"/>
      <c r="G163" s="223"/>
    </row>
    <row r="164" spans="1:7" ht="19.5" customHeight="1">
      <c r="A164" s="228"/>
      <c r="B164" s="228"/>
      <c r="C164" s="228"/>
      <c r="D164" s="228"/>
      <c r="E164" s="227"/>
      <c r="F164" s="227"/>
      <c r="G164" s="223"/>
    </row>
    <row r="165" spans="1:7" ht="19.5" customHeight="1">
      <c r="A165" s="307" t="s">
        <v>64</v>
      </c>
      <c r="B165" s="307"/>
      <c r="C165" s="307"/>
      <c r="D165" s="307"/>
      <c r="E165" s="307"/>
      <c r="F165" s="307"/>
      <c r="G165" s="307"/>
    </row>
    <row r="166" spans="1:7" ht="19.5" customHeight="1">
      <c r="A166" s="308" t="s">
        <v>433</v>
      </c>
      <c r="B166" s="308"/>
      <c r="C166" s="308"/>
      <c r="D166" s="308"/>
      <c r="E166" s="308"/>
      <c r="F166" s="308"/>
      <c r="G166" s="308"/>
    </row>
    <row r="167" spans="1:7" ht="19.5" customHeight="1">
      <c r="A167" s="308" t="s">
        <v>520</v>
      </c>
      <c r="B167" s="308"/>
      <c r="C167" s="308"/>
      <c r="D167" s="308"/>
      <c r="E167" s="308"/>
      <c r="F167" s="308"/>
      <c r="G167" s="308"/>
    </row>
    <row r="168" spans="1:7" ht="19.5" customHeight="1">
      <c r="A168" s="309" t="s">
        <v>418</v>
      </c>
      <c r="B168" s="309"/>
      <c r="C168" s="309"/>
      <c r="D168" s="309"/>
      <c r="E168" s="309"/>
      <c r="F168" s="309"/>
      <c r="G168" s="309"/>
    </row>
    <row r="169" spans="1:7" ht="19.5" customHeight="1">
      <c r="A169" s="269"/>
      <c r="B169" s="269"/>
      <c r="C169" s="269"/>
      <c r="D169" s="269"/>
      <c r="E169" s="269"/>
      <c r="F169" s="269"/>
      <c r="G169" s="227" t="s">
        <v>70</v>
      </c>
    </row>
    <row r="170" spans="1:7" ht="19.5" customHeight="1">
      <c r="A170" s="288" t="s">
        <v>543</v>
      </c>
      <c r="B170" s="288"/>
      <c r="C170" s="288"/>
      <c r="D170" s="288"/>
      <c r="E170" s="228"/>
      <c r="F170" s="228"/>
      <c r="G170" s="223">
        <v>95223</v>
      </c>
    </row>
    <row r="171" spans="1:7" ht="19.5" customHeight="1">
      <c r="A171" s="306" t="s">
        <v>544</v>
      </c>
      <c r="B171" s="306"/>
      <c r="C171" s="306"/>
      <c r="D171" s="306"/>
      <c r="E171" s="228"/>
      <c r="F171" s="228"/>
      <c r="G171" s="223">
        <v>50810</v>
      </c>
    </row>
    <row r="172" spans="1:7" ht="19.5" customHeight="1">
      <c r="A172" s="306" t="s">
        <v>545</v>
      </c>
      <c r="B172" s="306"/>
      <c r="C172" s="306"/>
      <c r="D172" s="306"/>
      <c r="E172" s="228"/>
      <c r="F172" s="228"/>
      <c r="G172" s="223">
        <v>16932</v>
      </c>
    </row>
    <row r="173" spans="1:7" ht="19.5" customHeight="1">
      <c r="A173" s="288" t="s">
        <v>546</v>
      </c>
      <c r="B173" s="288"/>
      <c r="C173" s="288"/>
      <c r="D173" s="288"/>
      <c r="E173" s="228"/>
      <c r="F173" s="228"/>
      <c r="G173" s="223">
        <v>4050</v>
      </c>
    </row>
    <row r="174" spans="1:7" ht="19.5" customHeight="1">
      <c r="A174" s="306" t="s">
        <v>547</v>
      </c>
      <c r="B174" s="306"/>
      <c r="C174" s="306"/>
      <c r="D174" s="306"/>
      <c r="E174" s="306"/>
      <c r="F174" s="227"/>
      <c r="G174" s="223">
        <v>26053</v>
      </c>
    </row>
    <row r="175" spans="1:7" ht="19.5" customHeight="1">
      <c r="A175" s="228"/>
      <c r="B175" s="228"/>
      <c r="C175" s="228"/>
      <c r="D175" s="223"/>
      <c r="E175" s="223"/>
      <c r="F175" s="223"/>
      <c r="G175" s="223"/>
    </row>
    <row r="176" spans="1:7" ht="19.5" customHeight="1" thickBot="1">
      <c r="A176" s="228"/>
      <c r="B176" s="228"/>
      <c r="C176" s="228"/>
      <c r="D176" s="228"/>
      <c r="E176" s="228"/>
      <c r="F176" s="227" t="s">
        <v>19</v>
      </c>
      <c r="G176" s="276">
        <f>SUM(G170:G175)</f>
        <v>193068</v>
      </c>
    </row>
    <row r="177" spans="1:7" ht="19.5" customHeight="1" thickTop="1">
      <c r="A177" s="306"/>
      <c r="B177" s="306"/>
      <c r="C177" s="306"/>
      <c r="D177" s="306"/>
      <c r="E177" s="306"/>
      <c r="F177" s="264"/>
      <c r="G177" s="253"/>
    </row>
    <row r="178" spans="1:7" ht="19.5" customHeight="1">
      <c r="A178" s="228"/>
      <c r="B178" s="228"/>
      <c r="C178" s="228"/>
      <c r="D178" s="228"/>
      <c r="E178" s="228"/>
      <c r="F178" s="264"/>
      <c r="G178" s="253"/>
    </row>
    <row r="179" spans="1:7" ht="19.5" customHeight="1">
      <c r="A179" s="228"/>
      <c r="B179" s="228"/>
      <c r="C179" s="228"/>
      <c r="D179" s="228"/>
      <c r="E179" s="228"/>
      <c r="F179" s="264"/>
      <c r="G179" s="253"/>
    </row>
    <row r="180" spans="1:7" ht="19.5" customHeight="1">
      <c r="A180" s="306"/>
      <c r="B180" s="306"/>
      <c r="C180" s="306"/>
      <c r="D180" s="306"/>
      <c r="E180" s="306"/>
      <c r="F180" s="264"/>
      <c r="G180" s="253"/>
    </row>
    <row r="181" spans="1:7" ht="19.5" customHeight="1">
      <c r="A181" s="228"/>
      <c r="B181" s="228"/>
      <c r="C181" s="228"/>
      <c r="D181" s="228"/>
      <c r="E181" s="228"/>
      <c r="F181" s="227"/>
      <c r="G181" s="287"/>
    </row>
    <row r="182" spans="1:7" ht="19.5" customHeight="1">
      <c r="A182" s="228"/>
      <c r="B182" s="228"/>
      <c r="C182" s="228"/>
      <c r="D182" s="228"/>
      <c r="E182" s="228"/>
      <c r="F182" s="264"/>
      <c r="G182" s="253"/>
    </row>
    <row r="183" spans="1:7" ht="19.5" customHeight="1">
      <c r="A183" s="227"/>
      <c r="B183" s="227"/>
      <c r="C183" s="227"/>
      <c r="D183" s="227"/>
      <c r="E183" s="227"/>
      <c r="F183" s="227"/>
      <c r="G183" s="287"/>
    </row>
    <row r="184" spans="1:7" ht="19.5" customHeight="1">
      <c r="A184" s="229"/>
      <c r="B184" s="229"/>
      <c r="C184" s="229"/>
      <c r="F184" s="229"/>
      <c r="G184" s="229"/>
    </row>
    <row r="185" spans="1:7" ht="19.5" customHeight="1">
      <c r="A185" s="229"/>
      <c r="B185" s="229"/>
      <c r="C185" s="229"/>
      <c r="F185" s="229"/>
      <c r="G185" s="229"/>
    </row>
    <row r="186" spans="1:7" ht="19.5" customHeight="1">
      <c r="A186" s="229"/>
      <c r="B186" s="229"/>
      <c r="C186" s="229"/>
      <c r="F186" s="229"/>
      <c r="G186" s="229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29"/>
      <c r="B823" s="229"/>
      <c r="C823" s="229"/>
      <c r="F823" s="229"/>
      <c r="G823" s="229"/>
    </row>
    <row r="824" spans="1:7" ht="19.5" customHeight="1">
      <c r="A824" s="270"/>
      <c r="B824" s="270"/>
      <c r="C824" s="270"/>
      <c r="D824" s="270"/>
      <c r="G824" s="272"/>
    </row>
    <row r="825" spans="1:7" ht="19.5" customHeight="1">
      <c r="A825" s="270"/>
      <c r="B825" s="270"/>
      <c r="C825" s="270"/>
      <c r="D825" s="270"/>
      <c r="G825" s="272"/>
    </row>
    <row r="826" spans="1:7" ht="19.5" customHeight="1">
      <c r="A826" s="270"/>
      <c r="B826" s="270"/>
      <c r="C826" s="270"/>
      <c r="D826" s="270"/>
      <c r="G826" s="272"/>
    </row>
    <row r="827" spans="1:7" ht="19.5" customHeight="1">
      <c r="A827" s="270"/>
      <c r="B827" s="270"/>
      <c r="C827" s="270"/>
      <c r="D827" s="270"/>
      <c r="G827" s="272"/>
    </row>
    <row r="828" spans="1:7" ht="19.5" customHeight="1">
      <c r="A828" s="270"/>
      <c r="B828" s="270"/>
      <c r="C828" s="270"/>
      <c r="D828" s="270"/>
      <c r="G828" s="272"/>
    </row>
  </sheetData>
  <sheetProtection/>
  <mergeCells count="39">
    <mergeCell ref="A171:D171"/>
    <mergeCell ref="E1:G1"/>
    <mergeCell ref="A2:G2"/>
    <mergeCell ref="A3:G3"/>
    <mergeCell ref="A4:D4"/>
    <mergeCell ref="E4:E7"/>
    <mergeCell ref="A89:G89"/>
    <mergeCell ref="A92:G92"/>
    <mergeCell ref="A95:G95"/>
    <mergeCell ref="A96:G96"/>
    <mergeCell ref="A130:G130"/>
    <mergeCell ref="A128:G128"/>
    <mergeCell ref="A90:G90"/>
    <mergeCell ref="A97:G97"/>
    <mergeCell ref="A132:D132"/>
    <mergeCell ref="A152:D152"/>
    <mergeCell ref="A143:G143"/>
    <mergeCell ref="A148:D148"/>
    <mergeCell ref="A127:G127"/>
    <mergeCell ref="A129:G129"/>
    <mergeCell ref="A151:B151"/>
    <mergeCell ref="A138:B138"/>
    <mergeCell ref="A166:G166"/>
    <mergeCell ref="A167:G167"/>
    <mergeCell ref="A168:G168"/>
    <mergeCell ref="A154:G154"/>
    <mergeCell ref="A144:G144"/>
    <mergeCell ref="A146:G146"/>
    <mergeCell ref="A145:G145"/>
    <mergeCell ref="A155:G155"/>
    <mergeCell ref="A180:E180"/>
    <mergeCell ref="A174:E174"/>
    <mergeCell ref="A172:D172"/>
    <mergeCell ref="A133:B133"/>
    <mergeCell ref="A140:C140"/>
    <mergeCell ref="A141:C141"/>
    <mergeCell ref="A165:G165"/>
    <mergeCell ref="A177:E177"/>
    <mergeCell ref="A139:C13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workbookViewId="0" topLeftCell="A1">
      <selection activeCell="A67" sqref="A67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18" t="s">
        <v>64</v>
      </c>
      <c r="B1" s="318"/>
      <c r="C1" s="318"/>
      <c r="D1" s="318"/>
      <c r="E1" s="318"/>
      <c r="F1" s="318"/>
    </row>
    <row r="2" spans="1:6" ht="18.75">
      <c r="A2" s="318" t="s">
        <v>421</v>
      </c>
      <c r="B2" s="318"/>
      <c r="C2" s="318"/>
      <c r="D2" s="318"/>
      <c r="E2" s="318"/>
      <c r="F2" s="318"/>
    </row>
    <row r="3" spans="1:6" ht="18.75">
      <c r="A3" s="318" t="s">
        <v>520</v>
      </c>
      <c r="B3" s="318"/>
      <c r="C3" s="318"/>
      <c r="D3" s="318"/>
      <c r="E3" s="318"/>
      <c r="F3" s="318"/>
    </row>
    <row r="4" spans="1:6" ht="18.75">
      <c r="A4" s="326"/>
      <c r="B4" s="326"/>
      <c r="C4" s="326"/>
      <c r="D4" s="326"/>
      <c r="E4" s="326"/>
      <c r="F4" s="326"/>
    </row>
    <row r="5" spans="1:6" ht="18.75">
      <c r="A5" s="321" t="s">
        <v>11</v>
      </c>
      <c r="B5" s="322"/>
      <c r="C5" s="323"/>
      <c r="D5" s="323"/>
      <c r="E5" s="323"/>
      <c r="F5" s="324"/>
    </row>
    <row r="6" spans="1:6" ht="18.75">
      <c r="A6" s="320" t="s">
        <v>24</v>
      </c>
      <c r="B6" s="319" t="s">
        <v>3</v>
      </c>
      <c r="C6" s="319" t="s">
        <v>22</v>
      </c>
      <c r="D6" s="319" t="s">
        <v>422</v>
      </c>
      <c r="E6" s="319" t="s">
        <v>37</v>
      </c>
      <c r="F6" s="99" t="s">
        <v>136</v>
      </c>
    </row>
    <row r="7" spans="1:6" ht="18.75">
      <c r="A7" s="320"/>
      <c r="B7" s="319"/>
      <c r="C7" s="319"/>
      <c r="D7" s="319"/>
      <c r="E7" s="319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341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/>
      <c r="E10" s="49"/>
      <c r="F10" s="49">
        <f>E10-C10</f>
        <v>-261700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19.58</v>
      </c>
      <c r="E11" s="49">
        <f>112.14+13.35+19.58</f>
        <v>145.07</v>
      </c>
      <c r="F11" s="49">
        <f>E11-C11</f>
        <v>-98854.93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400</v>
      </c>
      <c r="E12" s="49">
        <f>400</f>
        <v>400</v>
      </c>
      <c r="F12" s="49">
        <f>E12-C12</f>
        <v>-12400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SUM(D11:D12)</f>
        <v>419.58</v>
      </c>
      <c r="E13" s="103">
        <f>SUM(E10:E12)</f>
        <v>545.0699999999999</v>
      </c>
      <c r="F13" s="103">
        <f>SUM(F10:F12)</f>
        <v>-372954.93</v>
      </c>
    </row>
    <row r="14" spans="1:6" ht="19.5" thickTop="1">
      <c r="A14" s="117" t="s">
        <v>42</v>
      </c>
      <c r="B14" s="98" t="s">
        <v>342</v>
      </c>
      <c r="C14" s="49"/>
      <c r="D14" s="49"/>
      <c r="E14" s="49"/>
      <c r="F14" s="49"/>
    </row>
    <row r="15" spans="1:6" ht="18.75">
      <c r="A15" s="212" t="s">
        <v>386</v>
      </c>
      <c r="B15" s="9" t="s">
        <v>387</v>
      </c>
      <c r="C15" s="49">
        <v>1300</v>
      </c>
      <c r="D15" s="49"/>
      <c r="E15" s="49"/>
      <c r="F15" s="49">
        <f>E15-C15</f>
        <v>-1300</v>
      </c>
    </row>
    <row r="16" spans="1:6" ht="18.75">
      <c r="A16" s="115" t="s">
        <v>43</v>
      </c>
      <c r="B16" s="101">
        <v>412106</v>
      </c>
      <c r="C16" s="49">
        <v>1800</v>
      </c>
      <c r="D16" s="49">
        <v>162</v>
      </c>
      <c r="E16" s="49">
        <f>186+170+162</f>
        <v>518</v>
      </c>
      <c r="F16" s="49">
        <f aca="true" t="shared" si="0" ref="F16:F24">E16-C16</f>
        <v>-1282</v>
      </c>
    </row>
    <row r="17" spans="1:6" ht="18.75">
      <c r="A17" s="115" t="s">
        <v>348</v>
      </c>
      <c r="B17" s="101">
        <v>412111</v>
      </c>
      <c r="C17" s="49">
        <v>50</v>
      </c>
      <c r="D17" s="182">
        <v>0</v>
      </c>
      <c r="E17" s="49">
        <f>20</f>
        <v>20</v>
      </c>
      <c r="F17" s="49">
        <f t="shared" si="0"/>
        <v>-30</v>
      </c>
    </row>
    <row r="18" spans="1:6" ht="18.75">
      <c r="A18" s="115" t="s">
        <v>78</v>
      </c>
      <c r="B18" s="101">
        <v>412128</v>
      </c>
      <c r="C18" s="49">
        <v>300</v>
      </c>
      <c r="D18" s="49">
        <v>50</v>
      </c>
      <c r="E18" s="49">
        <f>50</f>
        <v>50</v>
      </c>
      <c r="F18" s="49">
        <f t="shared" si="0"/>
        <v>-250</v>
      </c>
    </row>
    <row r="19" spans="1:6" ht="18.75">
      <c r="A19" s="115" t="s">
        <v>130</v>
      </c>
      <c r="B19" s="5" t="s">
        <v>349</v>
      </c>
      <c r="C19" s="49">
        <v>82500</v>
      </c>
      <c r="D19" s="49"/>
      <c r="E19" s="49"/>
      <c r="F19" s="49">
        <f t="shared" si="0"/>
        <v>-82500</v>
      </c>
    </row>
    <row r="20" spans="1:6" ht="18.75">
      <c r="A20" s="115" t="s">
        <v>131</v>
      </c>
      <c r="B20" s="5" t="s">
        <v>350</v>
      </c>
      <c r="C20" s="49">
        <v>4000</v>
      </c>
      <c r="D20" s="182"/>
      <c r="E20" s="49"/>
      <c r="F20" s="49">
        <f t="shared" si="0"/>
        <v>-4000</v>
      </c>
    </row>
    <row r="21" spans="1:6" ht="18.75">
      <c r="A21" s="115" t="s">
        <v>351</v>
      </c>
      <c r="B21" s="5" t="s">
        <v>352</v>
      </c>
      <c r="C21" s="49">
        <v>60600</v>
      </c>
      <c r="D21" s="49"/>
      <c r="E21" s="49"/>
      <c r="F21" s="49">
        <f t="shared" si="0"/>
        <v>-60600</v>
      </c>
    </row>
    <row r="22" spans="1:6" ht="18.75">
      <c r="A22" s="115" t="s">
        <v>132</v>
      </c>
      <c r="B22" s="5" t="s">
        <v>353</v>
      </c>
      <c r="C22" s="49">
        <v>21900</v>
      </c>
      <c r="D22" s="49">
        <v>2020</v>
      </c>
      <c r="E22" s="49">
        <f>3360+2170+2020</f>
        <v>7550</v>
      </c>
      <c r="F22" s="49">
        <f t="shared" si="0"/>
        <v>-14350</v>
      </c>
    </row>
    <row r="23" spans="1:6" ht="18.75">
      <c r="A23" s="115" t="s">
        <v>133</v>
      </c>
      <c r="B23" s="5" t="s">
        <v>354</v>
      </c>
      <c r="C23" s="49">
        <v>500</v>
      </c>
      <c r="D23" s="49">
        <v>60</v>
      </c>
      <c r="E23" s="49">
        <f>80+60+60</f>
        <v>200</v>
      </c>
      <c r="F23" s="49">
        <f t="shared" si="0"/>
        <v>-300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SUM(D16:D23)</f>
        <v>2292</v>
      </c>
      <c r="E24" s="103">
        <f>SUM(E15:E23)</f>
        <v>8338</v>
      </c>
      <c r="F24" s="103">
        <f t="shared" si="0"/>
        <v>-164612</v>
      </c>
    </row>
    <row r="25" spans="1:6" ht="19.5" thickTop="1">
      <c r="A25" s="118" t="s">
        <v>44</v>
      </c>
      <c r="B25" s="47" t="s">
        <v>343</v>
      </c>
      <c r="C25" s="49"/>
      <c r="D25" s="49"/>
      <c r="E25" s="49"/>
      <c r="F25" s="49"/>
    </row>
    <row r="26" spans="1:6" ht="18.75">
      <c r="A26" s="115" t="s">
        <v>45</v>
      </c>
      <c r="B26" s="5" t="s">
        <v>355</v>
      </c>
      <c r="C26" s="49">
        <v>200000</v>
      </c>
      <c r="D26" s="49">
        <v>50238.45</v>
      </c>
      <c r="E26" s="49">
        <f>5543.01+4002.89+50238.45</f>
        <v>59784.35</v>
      </c>
      <c r="F26" s="49">
        <f>E26-C26</f>
        <v>-140215.65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50238.45</v>
      </c>
      <c r="E27" s="103">
        <f>SUM(E25:E26)</f>
        <v>59784.35</v>
      </c>
      <c r="F27" s="103">
        <f>SUM(F26)</f>
        <v>-140215.65</v>
      </c>
    </row>
    <row r="28" spans="1:6" ht="19.5" thickTop="1">
      <c r="A28" s="118" t="s">
        <v>46</v>
      </c>
      <c r="B28" s="47" t="s">
        <v>344</v>
      </c>
      <c r="C28" s="49"/>
      <c r="D28" s="49"/>
      <c r="E28" s="49"/>
      <c r="F28" s="49"/>
    </row>
    <row r="29" spans="1:6" ht="18.75">
      <c r="A29" s="115" t="s">
        <v>47</v>
      </c>
      <c r="B29" s="5" t="s">
        <v>356</v>
      </c>
      <c r="C29" s="49">
        <v>50000</v>
      </c>
      <c r="D29" s="105">
        <v>0</v>
      </c>
      <c r="E29" s="49">
        <f>4500+1000</f>
        <v>5500</v>
      </c>
      <c r="F29" s="49">
        <f>E29-C29</f>
        <v>-44500</v>
      </c>
    </row>
    <row r="30" spans="1:6" ht="18.75">
      <c r="A30" s="115" t="s">
        <v>79</v>
      </c>
      <c r="B30" s="5" t="s">
        <v>357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80</v>
      </c>
      <c r="B31" s="5" t="s">
        <v>358</v>
      </c>
      <c r="C31" s="49">
        <v>700</v>
      </c>
      <c r="D31" s="105">
        <v>200</v>
      </c>
      <c r="E31" s="49">
        <f>300+200</f>
        <v>500</v>
      </c>
      <c r="F31" s="49">
        <f>E31-C31</f>
        <v>-200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200</v>
      </c>
      <c r="E32" s="103">
        <f>SUM(E29:E31)</f>
        <v>6000</v>
      </c>
      <c r="F32" s="103">
        <f>SUM(F29:F31)</f>
        <v>-44800</v>
      </c>
    </row>
    <row r="33" spans="1:6" ht="19.5" thickTop="1">
      <c r="A33" s="114" t="s">
        <v>77</v>
      </c>
      <c r="B33" s="47" t="s">
        <v>345</v>
      </c>
      <c r="C33" s="49"/>
      <c r="D33" s="49"/>
      <c r="E33" s="49"/>
      <c r="F33" s="49"/>
    </row>
    <row r="34" spans="1:6" ht="18.75">
      <c r="A34" s="115" t="s">
        <v>81</v>
      </c>
      <c r="B34" s="5" t="s">
        <v>359</v>
      </c>
      <c r="C34" s="49">
        <v>500</v>
      </c>
      <c r="D34" s="182"/>
      <c r="E34" s="182"/>
      <c r="F34" s="49">
        <f>E34-C34</f>
        <v>-500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0</v>
      </c>
      <c r="F35" s="103">
        <f>E35-C35</f>
        <v>-500</v>
      </c>
    </row>
    <row r="36" spans="1:6" ht="18.75" customHeight="1" thickTop="1">
      <c r="A36" s="325"/>
      <c r="B36" s="325"/>
      <c r="C36" s="325"/>
      <c r="D36" s="325"/>
      <c r="E36" s="325"/>
      <c r="F36" s="325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27" t="s">
        <v>53</v>
      </c>
      <c r="B42" s="327"/>
      <c r="C42" s="327"/>
      <c r="D42" s="327"/>
      <c r="E42" s="327"/>
      <c r="F42" s="327"/>
    </row>
    <row r="43" spans="1:6" ht="18.75">
      <c r="A43" s="321" t="s">
        <v>11</v>
      </c>
      <c r="B43" s="322"/>
      <c r="C43" s="323"/>
      <c r="D43" s="323"/>
      <c r="E43" s="323"/>
      <c r="F43" s="324"/>
    </row>
    <row r="44" spans="1:6" ht="18.75">
      <c r="A44" s="320" t="s">
        <v>24</v>
      </c>
      <c r="B44" s="319" t="s">
        <v>3</v>
      </c>
      <c r="C44" s="319" t="s">
        <v>22</v>
      </c>
      <c r="D44" s="319" t="s">
        <v>422</v>
      </c>
      <c r="E44" s="319" t="s">
        <v>37</v>
      </c>
      <c r="F44" s="99" t="s">
        <v>136</v>
      </c>
    </row>
    <row r="45" spans="1:6" ht="18.75">
      <c r="A45" s="320"/>
      <c r="B45" s="319"/>
      <c r="C45" s="319"/>
      <c r="D45" s="319"/>
      <c r="E45" s="319"/>
      <c r="F45" s="99" t="s">
        <v>22</v>
      </c>
    </row>
    <row r="46" spans="1:6" ht="18.75">
      <c r="A46" s="120" t="s">
        <v>82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389</v>
      </c>
      <c r="B48" s="104">
        <v>421001</v>
      </c>
      <c r="C48" s="49">
        <v>354700</v>
      </c>
      <c r="D48" s="49"/>
      <c r="E48" s="49"/>
      <c r="F48" s="49">
        <f>E48-C48</f>
        <v>-354700</v>
      </c>
    </row>
    <row r="49" spans="1:6" ht="18.75">
      <c r="A49" s="115" t="s">
        <v>388</v>
      </c>
      <c r="B49" s="101">
        <v>421002</v>
      </c>
      <c r="C49" s="49">
        <v>7296100</v>
      </c>
      <c r="D49" s="49">
        <v>636359.11</v>
      </c>
      <c r="E49" s="49">
        <f>625141.06+627754.13+636359.11</f>
        <v>1889254.2999999998</v>
      </c>
      <c r="F49" s="49">
        <f>E49-C49</f>
        <v>-5406845.7</v>
      </c>
    </row>
    <row r="50" spans="1:6" ht="18.75">
      <c r="A50" s="115" t="s">
        <v>83</v>
      </c>
      <c r="B50" s="101">
        <v>421004</v>
      </c>
      <c r="C50" s="49">
        <v>2899800</v>
      </c>
      <c r="D50" s="49">
        <v>240434.46</v>
      </c>
      <c r="E50" s="49">
        <f>213214.03+246052.89+240434.46</f>
        <v>699701.38</v>
      </c>
      <c r="F50" s="49">
        <f aca="true" t="shared" si="1" ref="F50:F56">E50-C50</f>
        <v>-2200098.62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0</v>
      </c>
      <c r="E51" s="49">
        <f>23718.64</f>
        <v>23718.64</v>
      </c>
      <c r="F51" s="49">
        <f t="shared" si="1"/>
        <v>-101281.36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108409.87</v>
      </c>
      <c r="E52" s="49">
        <f>91128.26+103706.96+108409.87</f>
        <v>303245.08999999997</v>
      </c>
      <c r="F52" s="49">
        <f t="shared" si="1"/>
        <v>-796754.91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203990.2</v>
      </c>
      <c r="E53" s="49">
        <f>196751.82+218532.97+203990.2</f>
        <v>619274.99</v>
      </c>
      <c r="F53" s="49">
        <f t="shared" si="1"/>
        <v>-1180725.01</v>
      </c>
    </row>
    <row r="54" spans="1:6" ht="18.75">
      <c r="A54" s="115" t="s">
        <v>84</v>
      </c>
      <c r="B54" s="101">
        <v>421012</v>
      </c>
      <c r="C54" s="49">
        <v>30000</v>
      </c>
      <c r="D54" s="182"/>
      <c r="E54" s="49"/>
      <c r="F54" s="49">
        <f t="shared" si="1"/>
        <v>-30000</v>
      </c>
    </row>
    <row r="55" spans="1:6" ht="18.75">
      <c r="A55" s="115" t="s">
        <v>85</v>
      </c>
      <c r="B55" s="101">
        <v>421013</v>
      </c>
      <c r="C55" s="49">
        <v>70000</v>
      </c>
      <c r="D55" s="182">
        <v>0</v>
      </c>
      <c r="E55" s="49">
        <f>13583.96</f>
        <v>13583.96</v>
      </c>
      <c r="F55" s="49">
        <f t="shared" si="1"/>
        <v>-56416.04</v>
      </c>
    </row>
    <row r="56" spans="1:6" ht="18.75">
      <c r="A56" s="115" t="s">
        <v>134</v>
      </c>
      <c r="B56" s="101">
        <v>421015</v>
      </c>
      <c r="C56" s="49">
        <v>250000</v>
      </c>
      <c r="D56" s="49">
        <v>0</v>
      </c>
      <c r="E56" s="49">
        <f>30356+71341</f>
        <v>101697</v>
      </c>
      <c r="F56" s="49">
        <f t="shared" si="1"/>
        <v>-148303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1189193.64</v>
      </c>
      <c r="E57" s="103">
        <f>SUM(E48:E56)</f>
        <v>3650475.3599999994</v>
      </c>
      <c r="F57" s="103">
        <f>SUM(F48:F56)</f>
        <v>-10275124.639999999</v>
      </c>
    </row>
    <row r="58" spans="1:6" ht="19.5" thickTop="1">
      <c r="A58" s="121" t="s">
        <v>86</v>
      </c>
      <c r="B58" s="109">
        <v>430000</v>
      </c>
      <c r="C58" s="105"/>
      <c r="D58" s="105"/>
      <c r="E58" s="105"/>
      <c r="F58" s="105"/>
    </row>
    <row r="59" spans="1:6" ht="18.75">
      <c r="A59" s="114" t="s">
        <v>340</v>
      </c>
      <c r="B59" s="109">
        <v>431000</v>
      </c>
      <c r="C59" s="49"/>
      <c r="D59" s="49"/>
      <c r="E59" s="49"/>
      <c r="F59" s="49"/>
    </row>
    <row r="60" spans="1:6" ht="18.75">
      <c r="A60" s="115" t="s">
        <v>87</v>
      </c>
      <c r="B60" s="101">
        <v>431002</v>
      </c>
      <c r="C60" s="49">
        <v>8451200</v>
      </c>
      <c r="D60" s="49">
        <v>0</v>
      </c>
      <c r="E60" s="49">
        <f>2608471</f>
        <v>2608471</v>
      </c>
      <c r="F60" s="49">
        <f>E60-C60</f>
        <v>-5842729</v>
      </c>
    </row>
    <row r="61" spans="1:6" ht="18.75">
      <c r="A61" s="115" t="s">
        <v>88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0</v>
      </c>
      <c r="E62" s="103">
        <f>SUM(E60:E61)</f>
        <v>2608471</v>
      </c>
      <c r="F62" s="103">
        <f>SUM(F60:F61)</f>
        <v>-5842729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1242343.67</v>
      </c>
      <c r="E63" s="110">
        <f>SUM(E13,E24,E27,E32,E57,E62,E35)</f>
        <v>6333613.779999999</v>
      </c>
      <c r="F63" s="110">
        <f>E63-C63</f>
        <v>-16840936.22</v>
      </c>
    </row>
    <row r="64" spans="1:6" ht="18.75">
      <c r="A64" s="121" t="s">
        <v>423</v>
      </c>
      <c r="B64" s="109">
        <v>440000</v>
      </c>
      <c r="C64" s="105"/>
      <c r="D64" s="105"/>
      <c r="E64" s="105"/>
      <c r="F64" s="105"/>
    </row>
    <row r="65" spans="1:6" ht="18.75">
      <c r="A65" s="114" t="s">
        <v>429</v>
      </c>
      <c r="B65" s="109">
        <v>441000</v>
      </c>
      <c r="C65" s="49"/>
      <c r="D65" s="49"/>
      <c r="E65" s="49"/>
      <c r="F65" s="49"/>
    </row>
    <row r="66" spans="1:6" ht="18.75">
      <c r="A66" s="115" t="s">
        <v>507</v>
      </c>
      <c r="B66" s="101">
        <v>441001</v>
      </c>
      <c r="C66" s="49">
        <v>48570</v>
      </c>
      <c r="D66" s="49">
        <v>0</v>
      </c>
      <c r="E66" s="49">
        <f>48570</f>
        <v>48570</v>
      </c>
      <c r="F66" s="49">
        <f>48570</f>
        <v>48570</v>
      </c>
    </row>
    <row r="67" spans="1:6" ht="18.75">
      <c r="A67" s="115" t="s">
        <v>510</v>
      </c>
      <c r="B67" s="101">
        <v>441001</v>
      </c>
      <c r="C67" s="49">
        <v>27000</v>
      </c>
      <c r="D67" s="49">
        <v>0</v>
      </c>
      <c r="E67" s="49">
        <f>27000</f>
        <v>27000</v>
      </c>
      <c r="F67" s="49">
        <f>27000</f>
        <v>27000</v>
      </c>
    </row>
    <row r="68" spans="1:6" ht="18.75">
      <c r="A68" s="115" t="s">
        <v>509</v>
      </c>
      <c r="B68" s="101">
        <v>441001</v>
      </c>
      <c r="C68" s="49">
        <v>3000</v>
      </c>
      <c r="D68" s="49">
        <v>0</v>
      </c>
      <c r="E68" s="49">
        <f>3000</f>
        <v>3000</v>
      </c>
      <c r="F68" s="49">
        <f>3000</f>
        <v>3000</v>
      </c>
    </row>
    <row r="69" spans="1:6" ht="18.75">
      <c r="A69" s="115" t="s">
        <v>508</v>
      </c>
      <c r="B69" s="101">
        <v>441001</v>
      </c>
      <c r="C69" s="49">
        <v>1500</v>
      </c>
      <c r="D69" s="49">
        <v>0</v>
      </c>
      <c r="E69" s="49">
        <f>1500</f>
        <v>1500</v>
      </c>
      <c r="F69" s="49">
        <f>1500</f>
        <v>1500</v>
      </c>
    </row>
    <row r="70" spans="1:6" ht="18.75">
      <c r="A70" s="115" t="s">
        <v>511</v>
      </c>
      <c r="B70" s="101">
        <v>441001</v>
      </c>
      <c r="C70" s="49">
        <v>63700</v>
      </c>
      <c r="D70" s="49">
        <v>0</v>
      </c>
      <c r="E70" s="49">
        <f>63700</f>
        <v>63700</v>
      </c>
      <c r="F70" s="49">
        <f>63700</f>
        <v>63700</v>
      </c>
    </row>
    <row r="71" spans="1:6" ht="18.75">
      <c r="A71" s="115" t="s">
        <v>512</v>
      </c>
      <c r="B71" s="101">
        <v>441001</v>
      </c>
      <c r="C71" s="49">
        <f>1868400+1245600</f>
        <v>3114000</v>
      </c>
      <c r="D71" s="49">
        <v>1245600</v>
      </c>
      <c r="E71" s="49">
        <f>1868400+1245600</f>
        <v>3114000</v>
      </c>
      <c r="F71" s="49">
        <f>1868400+1245600</f>
        <v>3114000</v>
      </c>
    </row>
    <row r="72" spans="1:6" ht="18.75">
      <c r="A72" s="115" t="s">
        <v>513</v>
      </c>
      <c r="B72" s="101">
        <v>441001</v>
      </c>
      <c r="C72" s="49">
        <f>468000+468000</f>
        <v>936000</v>
      </c>
      <c r="D72" s="49">
        <v>468000</v>
      </c>
      <c r="E72" s="49">
        <f>468000+468000</f>
        <v>936000</v>
      </c>
      <c r="F72" s="49">
        <f>468000+468000</f>
        <v>936000</v>
      </c>
    </row>
    <row r="73" spans="1:6" ht="18.75">
      <c r="A73" s="115"/>
      <c r="B73" s="101"/>
      <c r="C73" s="49"/>
      <c r="D73" s="49"/>
      <c r="E73" s="49"/>
      <c r="F73" s="49"/>
    </row>
    <row r="74" spans="1:6" ht="19.5" thickBot="1">
      <c r="A74" s="282" t="s">
        <v>19</v>
      </c>
      <c r="B74" s="101"/>
      <c r="C74" s="103">
        <f>SUM(C66:C73)</f>
        <v>4193770</v>
      </c>
      <c r="D74" s="103">
        <f>SUM(D66:D73)</f>
        <v>1713600</v>
      </c>
      <c r="E74" s="103">
        <f>SUM(E66:E72)</f>
        <v>4193770</v>
      </c>
      <c r="F74" s="103">
        <f>SUM(F66:F73)</f>
        <v>4193770</v>
      </c>
    </row>
    <row r="75" spans="1:6" ht="20.25" thickBot="1" thickTop="1">
      <c r="A75" s="116" t="s">
        <v>473</v>
      </c>
      <c r="B75" s="101"/>
      <c r="C75" s="103">
        <f>SUM(C63+C74)</f>
        <v>27368320</v>
      </c>
      <c r="D75" s="103">
        <f>SUM(D63+D74)</f>
        <v>2955943.67</v>
      </c>
      <c r="E75" s="103">
        <f>SUM(E63+E74)</f>
        <v>10527383.78</v>
      </c>
      <c r="F75" s="103">
        <f>SUM(F63+F74)</f>
        <v>-12647166.219999999</v>
      </c>
    </row>
    <row r="76" spans="1:6" ht="19.5" thickTop="1">
      <c r="A76" s="116" t="s">
        <v>52</v>
      </c>
      <c r="B76" s="101"/>
      <c r="C76" s="110">
        <f>SUM(C75)</f>
        <v>27368320</v>
      </c>
      <c r="D76" s="110">
        <f>SUM(D75)</f>
        <v>2955943.67</v>
      </c>
      <c r="E76" s="110">
        <f>SUM(E75)</f>
        <v>10527383.78</v>
      </c>
      <c r="F76" s="110">
        <f>SUM(D76:E76)</f>
        <v>13483327.45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4" t="s">
        <v>57</v>
      </c>
      <c r="B1" s="294"/>
      <c r="C1" s="294"/>
    </row>
    <row r="2" spans="1:3" ht="18" customHeight="1">
      <c r="A2" s="294" t="s">
        <v>58</v>
      </c>
      <c r="B2" s="294"/>
      <c r="C2" s="294"/>
    </row>
    <row r="3" spans="1:3" ht="18" customHeight="1">
      <c r="A3" s="330" t="s">
        <v>549</v>
      </c>
      <c r="B3" s="330"/>
      <c r="C3" s="330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123</v>
      </c>
      <c r="B6" s="19">
        <v>2955943.67</v>
      </c>
      <c r="C6" s="19">
        <f>1183956.28+6387483.83+2955943.67</f>
        <v>10527383.780000001</v>
      </c>
    </row>
    <row r="7" spans="1:3" ht="18" customHeight="1">
      <c r="A7" s="20" t="s">
        <v>60</v>
      </c>
      <c r="B7" s="19">
        <v>205869.41</v>
      </c>
      <c r="C7" s="19">
        <f>22540.91+277870.57+205869.41</f>
        <v>506280.89</v>
      </c>
    </row>
    <row r="8" spans="1:3" ht="18" customHeight="1">
      <c r="A8" s="20" t="s">
        <v>391</v>
      </c>
      <c r="B8" s="19">
        <v>200735.85</v>
      </c>
      <c r="C8" s="19">
        <f>125493.06+1837619.15+200735.85</f>
        <v>2163848.06</v>
      </c>
    </row>
    <row r="9" spans="1:3" ht="18" customHeight="1">
      <c r="A9" s="20" t="s">
        <v>495</v>
      </c>
      <c r="B9" s="19">
        <v>0</v>
      </c>
      <c r="C9" s="19">
        <f>785920+783490</f>
        <v>1569410</v>
      </c>
    </row>
    <row r="10" spans="1:3" ht="18" customHeight="1">
      <c r="A10" s="20" t="s">
        <v>486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3362548.93</v>
      </c>
      <c r="C11" s="23">
        <f>SUM(C6:C10)</f>
        <v>14776372.730000002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392</v>
      </c>
      <c r="B13" s="15">
        <v>1795588.12</v>
      </c>
      <c r="C13" s="19">
        <f>1670342.18+2403481.66+1795588.12</f>
        <v>5869411.96</v>
      </c>
    </row>
    <row r="14" spans="1:3" ht="18" customHeight="1">
      <c r="A14" s="20" t="s">
        <v>393</v>
      </c>
      <c r="B14" s="15">
        <v>389900</v>
      </c>
      <c r="C14" s="19">
        <f>950320+900490+389900</f>
        <v>2240710</v>
      </c>
    </row>
    <row r="15" spans="1:3" ht="18" customHeight="1">
      <c r="A15" s="20" t="s">
        <v>61</v>
      </c>
      <c r="B15" s="19">
        <v>286867.84</v>
      </c>
      <c r="C15" s="19">
        <f>231482.61+22255.07+286867.84</f>
        <v>540605.52</v>
      </c>
    </row>
    <row r="16" spans="1:3" ht="18" customHeight="1">
      <c r="A16" s="20" t="s">
        <v>550</v>
      </c>
      <c r="B16" s="19">
        <v>964000</v>
      </c>
      <c r="C16" s="19">
        <f>964000</f>
        <v>964000</v>
      </c>
    </row>
    <row r="17" spans="1:3" ht="18" customHeight="1">
      <c r="A17" s="20" t="s">
        <v>124</v>
      </c>
      <c r="B17" s="19">
        <v>193068</v>
      </c>
      <c r="C17" s="19">
        <f>399873.04+193068</f>
        <v>592941.04</v>
      </c>
    </row>
    <row r="18" spans="1:3" ht="18" customHeight="1">
      <c r="A18" s="20" t="s">
        <v>515</v>
      </c>
      <c r="B18" s="19">
        <v>0</v>
      </c>
      <c r="C18" s="19">
        <f>1569410</f>
        <v>1569410</v>
      </c>
    </row>
    <row r="19" spans="1:3" ht="18" customHeight="1" thickBot="1">
      <c r="A19" s="21" t="s">
        <v>19</v>
      </c>
      <c r="B19" s="23">
        <f>SUM(B13:B18)</f>
        <v>3629423.96</v>
      </c>
      <c r="C19" s="23">
        <f>SUM(C13:C18)</f>
        <v>11777078.52</v>
      </c>
    </row>
    <row r="20" spans="1:3" ht="18" customHeight="1" thickBot="1" thickTop="1">
      <c r="A20" s="21" t="s">
        <v>62</v>
      </c>
      <c r="B20" s="23">
        <f>B11-B19</f>
        <v>-266875.0299999998</v>
      </c>
      <c r="C20" s="23">
        <f>C11-C19</f>
        <v>2999294.2100000028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28" t="s">
        <v>63</v>
      </c>
      <c r="B29" s="328"/>
      <c r="C29" s="328"/>
    </row>
    <row r="30" spans="1:3" ht="18" customHeight="1">
      <c r="A30" s="328" t="s">
        <v>91</v>
      </c>
      <c r="B30" s="328"/>
      <c r="C30" s="328"/>
    </row>
    <row r="31" spans="1:3" ht="18" customHeight="1">
      <c r="A31" s="4"/>
      <c r="B31" s="4"/>
      <c r="C31" s="4"/>
    </row>
    <row r="32" spans="1:3" ht="18" customHeight="1">
      <c r="A32" s="328" t="s">
        <v>14</v>
      </c>
      <c r="B32" s="328"/>
      <c r="C32" s="328"/>
    </row>
    <row r="33" spans="1:3" ht="18" customHeight="1">
      <c r="A33" s="2"/>
      <c r="B33" s="9"/>
      <c r="C33" s="14"/>
    </row>
    <row r="34" spans="1:3" s="1" customFormat="1" ht="18" customHeight="1">
      <c r="A34" s="328" t="s">
        <v>125</v>
      </c>
      <c r="B34" s="328"/>
      <c r="C34" s="328"/>
    </row>
    <row r="35" spans="1:3" s="1" customFormat="1" ht="18" customHeight="1">
      <c r="A35" s="328" t="s">
        <v>15</v>
      </c>
      <c r="B35" s="328"/>
      <c r="C35" s="328"/>
    </row>
    <row r="36" spans="1:3" s="1" customFormat="1" ht="18" customHeight="1">
      <c r="A36" s="329">
        <v>240696</v>
      </c>
      <c r="B36" s="329"/>
      <c r="C36" s="329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0.8515625" style="22" customWidth="1"/>
    <col min="7" max="8" width="7.7109375" style="22" customWidth="1"/>
    <col min="9" max="9" width="9.7109375" style="22" customWidth="1"/>
    <col min="10" max="10" width="19.710937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40" t="s">
        <v>64</v>
      </c>
      <c r="B2" s="340"/>
      <c r="C2" s="340"/>
      <c r="D2" s="340"/>
      <c r="E2" s="340"/>
      <c r="F2" s="340"/>
      <c r="G2" s="338" t="s">
        <v>570</v>
      </c>
      <c r="H2" s="339"/>
      <c r="I2" s="339"/>
      <c r="J2" s="339"/>
    </row>
    <row r="3" spans="1:10" ht="23.25">
      <c r="A3" s="340" t="s">
        <v>66</v>
      </c>
      <c r="B3" s="340"/>
      <c r="C3" s="340"/>
      <c r="D3" s="340"/>
      <c r="E3" s="340"/>
      <c r="F3" s="340"/>
      <c r="G3" s="338" t="s">
        <v>571</v>
      </c>
      <c r="H3" s="339"/>
      <c r="I3" s="339"/>
      <c r="J3" s="339"/>
    </row>
    <row r="4" spans="1:10" ht="23.25">
      <c r="A4" s="52"/>
      <c r="B4" s="29"/>
      <c r="C4" s="52"/>
      <c r="D4" s="29"/>
      <c r="E4" s="29"/>
      <c r="F4" s="29"/>
      <c r="G4" s="343"/>
      <c r="H4" s="298"/>
      <c r="I4" s="298"/>
      <c r="J4" s="298"/>
    </row>
    <row r="5" spans="1:10" ht="23.25">
      <c r="A5" s="335" t="s">
        <v>551</v>
      </c>
      <c r="B5" s="335"/>
      <c r="C5" s="335"/>
      <c r="D5" s="335"/>
      <c r="E5" s="335"/>
      <c r="F5" s="341"/>
      <c r="G5" s="30"/>
      <c r="H5" s="30"/>
      <c r="I5" s="30"/>
      <c r="J5" s="31">
        <v>6509342.21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2" t="s">
        <v>67</v>
      </c>
      <c r="B7" s="342"/>
      <c r="C7" s="342"/>
      <c r="D7" s="342"/>
      <c r="E7" s="342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69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572</v>
      </c>
      <c r="B9" s="34"/>
      <c r="C9" s="55" t="s">
        <v>573</v>
      </c>
      <c r="D9" s="34"/>
      <c r="E9" s="34"/>
      <c r="F9" s="35">
        <v>12504</v>
      </c>
      <c r="G9" s="30"/>
      <c r="H9" s="30"/>
      <c r="I9" s="30"/>
      <c r="J9" s="31">
        <v>12504</v>
      </c>
    </row>
    <row r="10" spans="1:10" ht="23.25">
      <c r="A10" s="55"/>
      <c r="B10" s="34"/>
      <c r="C10" s="55"/>
      <c r="D10" s="34"/>
      <c r="E10" s="34"/>
      <c r="F10" s="36"/>
      <c r="G10" s="30"/>
      <c r="H10" s="30"/>
      <c r="I10" s="30"/>
      <c r="J10" s="37"/>
    </row>
    <row r="11" spans="1:10" ht="23.25">
      <c r="A11" s="55"/>
      <c r="B11" s="34"/>
      <c r="C11" s="55"/>
      <c r="D11" s="34"/>
      <c r="E11" s="34"/>
      <c r="F11" s="36"/>
      <c r="G11" s="30"/>
      <c r="H11" s="30"/>
      <c r="I11" s="30"/>
      <c r="J11" s="36"/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1"/>
    </row>
    <row r="13" spans="1:10" ht="23.25">
      <c r="A13" s="55"/>
      <c r="B13" s="34"/>
      <c r="C13" s="55"/>
      <c r="D13" s="34"/>
      <c r="E13" s="34"/>
      <c r="F13" s="36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31"/>
      <c r="B21" s="331"/>
      <c r="C21" s="331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32" t="s">
        <v>567</v>
      </c>
      <c r="B25" s="332"/>
      <c r="C25" s="332"/>
      <c r="D25" s="332"/>
      <c r="E25" s="332"/>
      <c r="F25" s="333"/>
      <c r="G25" s="30"/>
      <c r="H25" s="30"/>
      <c r="I25" s="30"/>
      <c r="J25" s="31">
        <f>SUM(J5-J9)</f>
        <v>6496838.21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257</v>
      </c>
    </row>
    <row r="27" spans="1:10" ht="23.25">
      <c r="A27" s="56" t="s">
        <v>71</v>
      </c>
      <c r="B27" s="39"/>
      <c r="C27" s="56"/>
      <c r="D27" s="39"/>
      <c r="E27" s="39"/>
      <c r="F27" s="40"/>
      <c r="G27" s="334" t="s">
        <v>72</v>
      </c>
      <c r="H27" s="335"/>
      <c r="I27" s="335"/>
      <c r="J27" s="335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36" t="s">
        <v>568</v>
      </c>
      <c r="B29" s="336"/>
      <c r="C29" s="336"/>
      <c r="D29" s="336"/>
      <c r="E29" s="336"/>
      <c r="F29" s="337"/>
      <c r="G29" s="338" t="s">
        <v>569</v>
      </c>
      <c r="H29" s="339"/>
      <c r="I29" s="339"/>
      <c r="J29" s="339"/>
    </row>
    <row r="30" spans="1:10" ht="23.25">
      <c r="A30" s="339" t="s">
        <v>518</v>
      </c>
      <c r="B30" s="339"/>
      <c r="C30" s="339"/>
      <c r="D30" s="339"/>
      <c r="E30" s="32"/>
      <c r="F30" s="36"/>
      <c r="G30" s="338" t="s">
        <v>517</v>
      </c>
      <c r="H30" s="339"/>
      <c r="I30" s="339"/>
      <c r="J30" s="339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  <row r="34" ht="21.75" customHeight="1"/>
    <row r="35" ht="21.75" customHeight="1"/>
  </sheetData>
  <sheetProtection/>
  <mergeCells count="14">
    <mergeCell ref="A2:F2"/>
    <mergeCell ref="G2:J2"/>
    <mergeCell ref="A3:F3"/>
    <mergeCell ref="G3:J3"/>
    <mergeCell ref="A5:F5"/>
    <mergeCell ref="A7:E7"/>
    <mergeCell ref="G4:J4"/>
    <mergeCell ref="A21:C21"/>
    <mergeCell ref="A25:F25"/>
    <mergeCell ref="G27:J27"/>
    <mergeCell ref="A29:F29"/>
    <mergeCell ref="G29:J29"/>
    <mergeCell ref="A30:D30"/>
    <mergeCell ref="G30:J3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2016-01-14T03:21:34Z</cp:lastPrinted>
  <dcterms:created xsi:type="dcterms:W3CDTF">1996-10-14T23:33:28Z</dcterms:created>
  <dcterms:modified xsi:type="dcterms:W3CDTF">2016-01-14T03:21:36Z</dcterms:modified>
  <cp:category/>
  <cp:version/>
  <cp:contentType/>
  <cp:contentStatus/>
</cp:coreProperties>
</file>